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Info-Technical\"/>
    </mc:Choice>
  </mc:AlternateContent>
  <xr:revisionPtr revIDLastSave="0" documentId="13_ncr:1_{56B97BFA-EF7B-42D6-875C-86444B741B34}" xr6:coauthVersionLast="47" xr6:coauthVersionMax="47" xr10:uidLastSave="{00000000-0000-0000-0000-000000000000}"/>
  <workbookProtection workbookPassword="C541" lockStructure="1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I_Load">Sheet1!$B$12</definedName>
    <definedName name="LagLead">Sheet1!$B$10</definedName>
    <definedName name="Load">Sheet1!$B$8</definedName>
    <definedName name="Load_unit">Sheet1!$B$7</definedName>
    <definedName name="P_Load">Sheet1!$B$14</definedName>
    <definedName name="Phase">Sheet1!$B$3</definedName>
    <definedName name="PwrFact">Sheet1!$B$9</definedName>
    <definedName name="Q_Load">Sheet1!$B$15</definedName>
    <definedName name="S_Load">Sheet1!$B$13</definedName>
    <definedName name="V_sys">Sheet1!$B$5</definedName>
    <definedName name="V_unit">Sheet1!$B$4</definedName>
    <definedName name="Volt">Sheet1!$B$11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 s="1"/>
  <c r="B11" i="1"/>
  <c r="G11" i="1" l="1"/>
  <c r="B20" i="1" l="1"/>
  <c r="B14" i="1"/>
  <c r="B15" i="1" l="1"/>
  <c r="L19" i="1" s="1"/>
  <c r="N18" i="1"/>
  <c r="B19" i="1"/>
  <c r="B21" i="1" s="1"/>
  <c r="R18" i="1"/>
  <c r="P18" i="1"/>
  <c r="B25" i="1"/>
  <c r="B27" i="1" s="1"/>
  <c r="G12" i="1" s="1"/>
  <c r="K18" i="1"/>
  <c r="H18" i="1"/>
  <c r="L18" i="1"/>
  <c r="B31" i="1"/>
  <c r="O18" i="1"/>
  <c r="N19" i="1" l="1"/>
  <c r="L21" i="1"/>
  <c r="L22" i="1" s="1"/>
  <c r="B28" i="1"/>
  <c r="B32" i="1"/>
  <c r="B33" i="1" s="1"/>
  <c r="B34" i="1" s="1"/>
  <c r="B26" i="1"/>
  <c r="B29" i="1" s="1"/>
  <c r="B30" i="1" s="1"/>
  <c r="J19" i="1" l="1"/>
  <c r="P19" i="1"/>
  <c r="R19" i="1"/>
</calcChain>
</file>

<file path=xl/sharedStrings.xml><?xml version="1.0" encoding="utf-8"?>
<sst xmlns="http://schemas.openxmlformats.org/spreadsheetml/2006/main" count="38" uniqueCount="37">
  <si>
    <t>Frequency</t>
  </si>
  <si>
    <t>System Voltage</t>
  </si>
  <si>
    <t>Measured Load</t>
  </si>
  <si>
    <t>kV</t>
  </si>
  <si>
    <t>System Volts</t>
  </si>
  <si>
    <t>Maximum Demand Charge</t>
  </si>
  <si>
    <t>Maximum Demand Tarriff</t>
  </si>
  <si>
    <t>Electricity Tarriff</t>
  </si>
  <si>
    <t>Total cost</t>
  </si>
  <si>
    <t>Saving</t>
  </si>
  <si>
    <t>Running cost</t>
  </si>
  <si>
    <t>Total Cost</t>
  </si>
  <si>
    <t>Running cost (based on kWh)</t>
  </si>
  <si>
    <t>Maximum Demand Charge (based on max average kVA)</t>
  </si>
  <si>
    <t>Capacitance</t>
  </si>
  <si>
    <t>Running hours</t>
  </si>
  <si>
    <t>Measured Lagging or Leading</t>
  </si>
  <si>
    <r>
      <t>Measured Load Power Factor (0 to +1)  λ = |P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>| / |S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>|</t>
    </r>
  </si>
  <si>
    <r>
      <t>Target Supply Power Factor (0 to +1) λ = |P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>| / |S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>|</t>
    </r>
  </si>
  <si>
    <t>Lagging</t>
  </si>
  <si>
    <t>Target Lagging or Leading</t>
  </si>
  <si>
    <t>Highlighted cells can be modified according to your system</t>
  </si>
  <si>
    <r>
      <t>Supply Power P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Watt)</t>
    </r>
  </si>
  <si>
    <r>
      <t>Supply Reactive Power Q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var)</t>
    </r>
  </si>
  <si>
    <r>
      <t>LoadCurrent I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(Amp)</t>
    </r>
  </si>
  <si>
    <r>
      <t>Supply Current I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+ I</t>
    </r>
    <r>
      <rPr>
        <vertAlign val="subscript"/>
        <sz val="11"/>
        <color theme="1"/>
        <rFont val="Tahoma"/>
        <family val="2"/>
      </rPr>
      <t>react</t>
    </r>
    <r>
      <rPr>
        <sz val="11"/>
        <color theme="1"/>
        <rFont val="Tahoma"/>
        <family val="2"/>
      </rPr>
      <t xml:space="preserve"> (Amp)</t>
    </r>
  </si>
  <si>
    <r>
      <t>Supply Apparent Power S</t>
    </r>
    <r>
      <rPr>
        <vertAlign val="subscript"/>
        <sz val="11"/>
        <color theme="1"/>
        <rFont val="Tahoma"/>
        <family val="2"/>
      </rPr>
      <t>supply</t>
    </r>
    <r>
      <rPr>
        <sz val="11"/>
        <color theme="1"/>
        <rFont val="Tahoma"/>
        <family val="2"/>
      </rPr>
      <t xml:space="preserve"> (kilo VA)</t>
    </r>
  </si>
  <si>
    <t>Show voltage as : select V or kV</t>
  </si>
  <si>
    <t>Show load as : select as A, kA, kW or kVA</t>
  </si>
  <si>
    <t>Required Reactance (-ve add capacitance, +ve remove capacitance)</t>
  </si>
  <si>
    <t>kVA</t>
  </si>
  <si>
    <r>
      <t>Load Reactive Power Q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(kilovar)</t>
    </r>
  </si>
  <si>
    <r>
      <t>Load Apparent Power S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(kiloVA)</t>
    </r>
  </si>
  <si>
    <r>
      <t>Load Power P</t>
    </r>
    <r>
      <rPr>
        <vertAlign val="subscript"/>
        <sz val="11"/>
        <color theme="1"/>
        <rFont val="Tahoma"/>
        <family val="2"/>
      </rPr>
      <t>load</t>
    </r>
    <r>
      <rPr>
        <sz val="11"/>
        <color theme="1"/>
        <rFont val="Tahoma"/>
        <family val="2"/>
      </rPr>
      <t xml:space="preserve"> (kiloWatt)</t>
    </r>
  </si>
  <si>
    <t>Single/Three Phase</t>
  </si>
  <si>
    <t>Version 2024-02-21</t>
  </si>
  <si>
    <t>Three 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</si>
</sst>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0.0000_ ;[Red]\-0.0000\ "/>
    <numFmt numFmtId="165" formatCode="0.00_ ;[Red]\-0.00\ "/>
    <numFmt numFmtId="166" formatCode="0\ \k\W"/>
    <numFmt numFmtId="167" formatCode="0\ \k\V\A"/>
    <numFmt numFmtId="168" formatCode="0\ \k\v\a\r"/>
    <numFmt numFmtId="170" formatCode="0.00\ \A"/>
    <numFmt numFmtId="171" formatCode="0.000"/>
    <numFmt numFmtId="172" formatCode="0\ &quot;Hz&quot;"/>
    <numFmt numFmtId="173" formatCode="0.00\ &quot;$/kWh&quot;"/>
    <numFmt numFmtId="174" formatCode="&quot;$&quot;#,##0"/>
    <numFmt numFmtId="175" formatCode="0\ &quot;$/kVA&quot;"/>
    <numFmt numFmtId="176" formatCode="0.000\ &quot;uF&quot;"/>
    <numFmt numFmtId="180" formatCode="#,##0\ \V"/>
    <numFmt numFmtId="181" formatCode="#,##0\ \k\W"/>
    <numFmt numFmtId="182" formatCode="#,##0\ \k\v\a\r"/>
    <numFmt numFmtId="183" formatCode="#,##0\ \k\V\A"/>
    <numFmt numFmtId="184" formatCode="#,##0.00\ \A"/>
    <numFmt numFmtId="186" formatCode="_-* #,##0_-;\-* #,##0_-;_-* &quot;-&quot;??_-;_-@_-"/>
    <numFmt numFmtId="187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vertAlign val="subscript"/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68" fontId="1" fillId="0" borderId="4" xfId="0" applyNumberFormat="1" applyFont="1" applyBorder="1"/>
    <xf numFmtId="167" fontId="1" fillId="0" borderId="4" xfId="0" applyNumberFormat="1" applyFont="1" applyBorder="1"/>
    <xf numFmtId="0" fontId="3" fillId="0" borderId="0" xfId="0" applyFont="1"/>
    <xf numFmtId="166" fontId="3" fillId="0" borderId="0" xfId="0" applyNumberFormat="1" applyFont="1"/>
    <xf numFmtId="174" fontId="1" fillId="0" borderId="4" xfId="0" applyNumberFormat="1" applyFont="1" applyBorder="1"/>
    <xf numFmtId="168" fontId="3" fillId="0" borderId="0" xfId="0" applyNumberFormat="1" applyFont="1"/>
    <xf numFmtId="174" fontId="1" fillId="0" borderId="6" xfId="0" applyNumberFormat="1" applyFont="1" applyBorder="1"/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4" xfId="0" applyNumberFormat="1" applyFont="1" applyBorder="1" applyAlignment="1">
      <alignment vertical="top"/>
    </xf>
    <xf numFmtId="176" fontId="1" fillId="0" borderId="4" xfId="0" applyNumberFormat="1" applyFont="1" applyBorder="1" applyAlignment="1">
      <alignment vertical="top"/>
    </xf>
    <xf numFmtId="174" fontId="1" fillId="0" borderId="4" xfId="0" applyNumberFormat="1" applyFont="1" applyBorder="1" applyAlignment="1">
      <alignment vertical="top"/>
    </xf>
    <xf numFmtId="0" fontId="1" fillId="2" borderId="2" xfId="0" applyFont="1" applyFill="1" applyBorder="1" applyProtection="1">
      <protection locked="0"/>
    </xf>
    <xf numFmtId="171" fontId="1" fillId="2" borderId="4" xfId="0" applyNumberFormat="1" applyFont="1" applyFill="1" applyBorder="1" applyProtection="1">
      <protection locked="0"/>
    </xf>
    <xf numFmtId="172" fontId="1" fillId="2" borderId="4" xfId="0" applyNumberFormat="1" applyFont="1" applyFill="1" applyBorder="1" applyAlignment="1" applyProtection="1">
      <alignment vertical="top"/>
      <protection locked="0"/>
    </xf>
    <xf numFmtId="0" fontId="1" fillId="2" borderId="4" xfId="0" applyFont="1" applyFill="1" applyBorder="1" applyProtection="1">
      <protection locked="0"/>
    </xf>
    <xf numFmtId="173" fontId="1" fillId="3" borderId="4" xfId="0" applyNumberFormat="1" applyFont="1" applyFill="1" applyBorder="1" applyProtection="1">
      <protection locked="0"/>
    </xf>
    <xf numFmtId="175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174" fontId="1" fillId="0" borderId="6" xfId="0" applyNumberFormat="1" applyFont="1" applyBorder="1" applyAlignment="1">
      <alignment vertical="top"/>
    </xf>
    <xf numFmtId="0" fontId="1" fillId="2" borderId="4" xfId="0" applyFont="1" applyFill="1" applyBorder="1" applyAlignment="1" applyProtection="1">
      <alignment horizontal="right"/>
      <protection locked="0"/>
    </xf>
    <xf numFmtId="165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1" fillId="0" borderId="3" xfId="0" applyNumberFormat="1" applyFont="1" applyBorder="1"/>
    <xf numFmtId="49" fontId="1" fillId="0" borderId="5" xfId="0" applyNumberFormat="1" applyFont="1" applyBorder="1"/>
    <xf numFmtId="49" fontId="1" fillId="0" borderId="1" xfId="0" applyNumberFormat="1" applyFont="1" applyBorder="1" applyAlignment="1">
      <alignment vertical="top"/>
    </xf>
    <xf numFmtId="49" fontId="1" fillId="0" borderId="7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vertical="top"/>
    </xf>
    <xf numFmtId="49" fontId="1" fillId="0" borderId="5" xfId="0" applyNumberFormat="1" applyFont="1" applyBorder="1" applyAlignment="1">
      <alignment vertical="top"/>
    </xf>
    <xf numFmtId="49" fontId="1" fillId="0" borderId="8" xfId="0" applyNumberFormat="1" applyFont="1" applyBorder="1" applyAlignment="1">
      <alignment vertical="top"/>
    </xf>
    <xf numFmtId="170" fontId="1" fillId="0" borderId="9" xfId="0" applyNumberFormat="1" applyFont="1" applyBorder="1"/>
    <xf numFmtId="168" fontId="4" fillId="0" borderId="11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center" vertical="top"/>
    </xf>
    <xf numFmtId="180" fontId="1" fillId="0" borderId="4" xfId="0" applyNumberFormat="1" applyFont="1" applyBorder="1"/>
    <xf numFmtId="181" fontId="1" fillId="0" borderId="4" xfId="0" applyNumberFormat="1" applyFont="1" applyBorder="1"/>
    <xf numFmtId="182" fontId="1" fillId="0" borderId="4" xfId="0" applyNumberFormat="1" applyFont="1" applyBorder="1"/>
    <xf numFmtId="183" fontId="1" fillId="0" borderId="4" xfId="0" applyNumberFormat="1" applyFont="1" applyBorder="1"/>
    <xf numFmtId="184" fontId="1" fillId="0" borderId="4" xfId="0" applyNumberFormat="1" applyFont="1" applyBorder="1"/>
    <xf numFmtId="4" fontId="1" fillId="2" borderId="4" xfId="0" applyNumberFormat="1" applyFont="1" applyFill="1" applyBorder="1" applyProtection="1">
      <protection locked="0"/>
    </xf>
    <xf numFmtId="49" fontId="1" fillId="0" borderId="12" xfId="0" applyNumberFormat="1" applyFont="1" applyBorder="1"/>
    <xf numFmtId="0" fontId="1" fillId="2" borderId="13" xfId="0" applyFont="1" applyFill="1" applyBorder="1" applyProtection="1"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186" fontId="3" fillId="0" borderId="0" xfId="1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3" fillId="0" borderId="0" xfId="1" applyFont="1"/>
    <xf numFmtId="43" fontId="3" fillId="0" borderId="0" xfId="0" applyNumberFormat="1" applyFont="1"/>
    <xf numFmtId="187" fontId="3" fillId="0" borderId="0" xfId="1" applyNumberFormat="1" applyFont="1" applyAlignment="1">
      <alignment horizontal="right"/>
    </xf>
    <xf numFmtId="186" fontId="3" fillId="0" borderId="0" xfId="0" applyNumberFormat="1" applyFont="1"/>
  </cellXfs>
  <cellStyles count="2">
    <cellStyle name="Comma" xfId="1" builtinId="3"/>
    <cellStyle name="Normal" xfId="0" builtinId="0"/>
  </cellStyles>
  <dxfs count="6">
    <dxf>
      <numFmt numFmtId="166" formatCode="0\ \k\W"/>
    </dxf>
    <dxf>
      <numFmt numFmtId="167" formatCode="0\ \k\V\A"/>
    </dxf>
    <dxf>
      <numFmt numFmtId="178" formatCode="0\ \k\A"/>
    </dxf>
    <dxf>
      <numFmt numFmtId="179" formatCode="0\ \A"/>
    </dxf>
    <dxf>
      <numFmt numFmtId="169" formatCode="0\ \V"/>
    </dxf>
    <dxf>
      <numFmt numFmtId="177" formatCode="0.0\ \k\V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1791139743896"/>
          <c:y val="2.885644551755245E-2"/>
          <c:w val="0.78412964288554843"/>
          <c:h val="0.79734016928055962"/>
        </c:manualLayout>
      </c:layout>
      <c:scatterChart>
        <c:scatterStyle val="smoothMarker"/>
        <c:varyColors val="0"/>
        <c:ser>
          <c:idx val="1"/>
          <c:order val="0"/>
          <c:tx>
            <c:v>Pload (kW)</c:v>
          </c:tx>
          <c:spPr>
            <a:ln w="50800">
              <a:solidFill>
                <a:srgbClr val="7030A0"/>
              </a:solidFill>
              <a:tailEnd type="triangle"/>
            </a:ln>
          </c:spPr>
          <c:marker>
            <c:symbol val="none"/>
          </c:marker>
          <c:dPt>
            <c:idx val="1"/>
            <c:bubble3D val="0"/>
            <c:spPr>
              <a:ln w="76200">
                <a:solidFill>
                  <a:srgbClr val="7030A0"/>
                </a:solidFill>
                <a:tailEnd type="triangle"/>
              </a:ln>
            </c:spPr>
            <c:extLst>
              <c:ext xmlns:c16="http://schemas.microsoft.com/office/drawing/2014/chart" uri="{C3380CC4-5D6E-409C-BE32-E72D297353CC}">
                <c16:uniqueId val="{00000001-2A11-4817-9F87-9258EE0271A2}"/>
              </c:ext>
            </c:extLst>
          </c:dPt>
          <c:xVal>
            <c:numRef>
              <c:f>Sheet1!$G$18:$H$18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20900</c:v>
                </c:pt>
              </c:numCache>
            </c:numRef>
          </c:xVal>
          <c:yVal>
            <c:numRef>
              <c:f>Sheet1!$G$19:$H$19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A11-4817-9F87-9258EE0271A2}"/>
            </c:ext>
          </c:extLst>
        </c:ser>
        <c:ser>
          <c:idx val="0"/>
          <c:order val="1"/>
          <c:tx>
            <c:v>Qload (kvar)</c:v>
          </c:tx>
          <c:spPr>
            <a:ln w="76200">
              <a:solidFill>
                <a:schemeClr val="accent1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Sheet1!$K$18:$L$18</c:f>
              <c:numCache>
                <c:formatCode>0\ \k\W</c:formatCode>
                <c:ptCount val="2"/>
                <c:pt idx="0">
                  <c:v>20900</c:v>
                </c:pt>
                <c:pt idx="1">
                  <c:v>20900</c:v>
                </c:pt>
              </c:numCache>
            </c:numRef>
          </c:xVal>
          <c:yVal>
            <c:numRef>
              <c:f>Sheet1!$K$19:$L$19</c:f>
              <c:numCache>
                <c:formatCode>0\ \k\v\a\r</c:formatCode>
                <c:ptCount val="2"/>
                <c:pt idx="0" formatCode="0\ \k\W">
                  <c:v>0</c:v>
                </c:pt>
                <c:pt idx="1">
                  <c:v>36199.861878189535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A11-4817-9F87-9258EE0271A2}"/>
            </c:ext>
          </c:extLst>
        </c:ser>
        <c:ser>
          <c:idx val="2"/>
          <c:order val="2"/>
          <c:tx>
            <c:v>Sload</c:v>
          </c:tx>
          <c:spPr>
            <a:ln w="76200">
              <a:solidFill>
                <a:srgbClr val="FF0000"/>
              </a:solidFill>
              <a:tailEnd type="stealt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11-4817-9F87-9258EE0271A2}"/>
                </c:ext>
              </c:extLst>
            </c:dLbl>
            <c:spPr>
              <a:ln>
                <a:solidFill>
                  <a:srgbClr val="FF0000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Sheet1!$M$18:$N$18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20900</c:v>
                </c:pt>
              </c:numCache>
            </c:numRef>
          </c:xVal>
          <c:yVal>
            <c:numRef>
              <c:f>Sheet1!$M$19:$N$19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36199.861878189535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2A11-4817-9F87-9258EE0271A2}"/>
            </c:ext>
          </c:extLst>
        </c:ser>
        <c:ser>
          <c:idx val="3"/>
          <c:order val="3"/>
          <c:tx>
            <c:v>Qsupply (kvar)</c:v>
          </c:tx>
          <c:spPr>
            <a:ln w="38100">
              <a:solidFill>
                <a:schemeClr val="accent5">
                  <a:lumMod val="60000"/>
                  <a:lumOff val="40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Sheet1!$O$18:$P$18</c:f>
              <c:numCache>
                <c:formatCode>0\ \k\W</c:formatCode>
                <c:ptCount val="2"/>
                <c:pt idx="0">
                  <c:v>20900</c:v>
                </c:pt>
                <c:pt idx="1">
                  <c:v>20900</c:v>
                </c:pt>
              </c:numCache>
            </c:numRef>
          </c:xVal>
          <c:yVal>
            <c:numRef>
              <c:f>Sheet1!$O$19:$P$19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2977.3009589223593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A11-4817-9F87-9258EE0271A2}"/>
            </c:ext>
          </c:extLst>
        </c:ser>
        <c:ser>
          <c:idx val="4"/>
          <c:order val="4"/>
          <c:tx>
            <c:v>Ssupply</c:v>
          </c:tx>
          <c:spPr>
            <a:ln w="76200">
              <a:solidFill>
                <a:srgbClr val="00B050"/>
              </a:solidFill>
              <a:tailEnd type="stealt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11-4817-9F87-9258EE0271A2}"/>
                </c:ext>
              </c:extLst>
            </c:dLbl>
            <c:spPr>
              <a:ln>
                <a:solidFill>
                  <a:srgbClr val="00B050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Sheet1!$Q$18:$R$18</c:f>
              <c:numCache>
                <c:formatCode>0\ \k\W</c:formatCode>
                <c:ptCount val="2"/>
                <c:pt idx="0" formatCode="General">
                  <c:v>0</c:v>
                </c:pt>
                <c:pt idx="1">
                  <c:v>20900</c:v>
                </c:pt>
              </c:numCache>
            </c:numRef>
          </c:xVal>
          <c:yVal>
            <c:numRef>
              <c:f>Sheet1!$Q$19:$R$19</c:f>
              <c:numCache>
                <c:formatCode>0\ \k\v\a\r</c:formatCode>
                <c:ptCount val="2"/>
                <c:pt idx="0" formatCode="General">
                  <c:v>0</c:v>
                </c:pt>
                <c:pt idx="1">
                  <c:v>2977.3009589223593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A11-4817-9F87-9258EE0271A2}"/>
            </c:ext>
          </c:extLst>
        </c:ser>
        <c:ser>
          <c:idx val="5"/>
          <c:order val="5"/>
          <c:tx>
            <c:v>Qreact</c:v>
          </c:tx>
          <c:spPr>
            <a:ln w="50800">
              <a:tailEnd type="arrow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11-4817-9F87-9258EE0271A2}"/>
                </c:ext>
              </c:extLst>
            </c:dLbl>
            <c:dLbl>
              <c:idx val="1"/>
              <c:layout>
                <c:manualLayout>
                  <c:x val="2.0185551309525721E-3"/>
                  <c:y val="2.599089786477611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11-4817-9F87-9258EE0271A2}"/>
                </c:ext>
              </c:extLst>
            </c:dLbl>
            <c:spPr>
              <a:ln>
                <a:solidFill>
                  <a:schemeClr val="accent6">
                    <a:lumMod val="75000"/>
                  </a:schemeClr>
                </a:solidFill>
              </a:ln>
            </c:spPr>
            <c:txPr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Sheet1!$I$18:$J$18</c:f>
              <c:numCache>
                <c:formatCode>0\ \k\W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Sheet1!$I$19:$J$19</c:f>
              <c:numCache>
                <c:formatCode>0\ \k\v\a\r</c:formatCode>
                <c:ptCount val="2"/>
                <c:pt idx="0" formatCode="0\ \k\W">
                  <c:v>0</c:v>
                </c:pt>
                <c:pt idx="1">
                  <c:v>-33222.560919267176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2A11-4817-9F87-9258EE027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58400"/>
        <c:axId val="175160320"/>
      </c:scatterChart>
      <c:valAx>
        <c:axId val="175158400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Power (kW)</a:t>
                </a:r>
              </a:p>
            </c:rich>
          </c:tx>
          <c:layout>
            <c:manualLayout>
              <c:xMode val="edge"/>
              <c:yMode val="edge"/>
              <c:x val="0.84190901137357832"/>
              <c:y val="0.431134967253515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5160320"/>
        <c:crosses val="autoZero"/>
        <c:crossBetween val="midCat"/>
      </c:valAx>
      <c:valAx>
        <c:axId val="175160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 sz="1100"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rPr>
                  <a:t>Reactive power (kvar)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7515840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11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28575"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85724</xdr:rowOff>
    </xdr:from>
    <xdr:to>
      <xdr:col>2</xdr:col>
      <xdr:colOff>19050</xdr:colOff>
      <xdr:row>60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0.13636</cdr:x>
      <cdr:y>0.03314</cdr:y>
    </cdr:from>
    <cdr:to>
      <cdr:x>0.41515</cdr:x>
      <cdr:y>0.08382</cdr:y>
    </cdr:to>
    <cdr:sp macro="" textlink="Sheet1!$G$11">
      <cdr:nvSpPr>
        <cdr:cNvPr id="3" name="TextBox 2"/>
        <cdr:cNvSpPr txBox="1"/>
      </cdr:nvSpPr>
      <cdr:spPr>
        <a:xfrm xmlns:a="http://schemas.openxmlformats.org/drawingml/2006/main">
          <a:off x="857256" y="161920"/>
          <a:ext cx="1752613" cy="247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3F82B3F4-8724-437F-8DF3-7008F5744757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Sload =41800 kVA , PF = 0.5 Lagging</a:t>
          </a:fld>
          <a:endParaRPr lang="en-AU" sz="1100"/>
        </a:p>
      </cdr:txBody>
    </cdr:sp>
  </cdr:relSizeAnchor>
  <cdr:relSizeAnchor xmlns:cdr="http://schemas.openxmlformats.org/drawingml/2006/chartDrawing">
    <cdr:from>
      <cdr:x>0.13636</cdr:x>
      <cdr:y>0.08382</cdr:y>
    </cdr:from>
    <cdr:to>
      <cdr:x>0.44242</cdr:x>
      <cdr:y>0.13645</cdr:y>
    </cdr:to>
    <cdr:sp macro="" textlink="Sheet1!$G$12">
      <cdr:nvSpPr>
        <cdr:cNvPr id="4" name="TextBox 3"/>
        <cdr:cNvSpPr txBox="1"/>
      </cdr:nvSpPr>
      <cdr:spPr>
        <a:xfrm xmlns:a="http://schemas.openxmlformats.org/drawingml/2006/main">
          <a:off x="857256" y="409591"/>
          <a:ext cx="1924046" cy="257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5D76D686-01A5-48EB-9BD5-970B874388DD}" type="TxLink">
            <a:rPr lang="en-US" sz="11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rPr>
            <a:pPr/>
            <a:t>Ssupply = 21111 kVA, PF = 0.99 Lagging</a:t>
          </a:fld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showGridLines="0" tabSelected="1" zoomScaleNormal="100" workbookViewId="0">
      <selection activeCell="C27" sqref="C27"/>
    </sheetView>
  </sheetViews>
  <sheetFormatPr defaultColWidth="10.7109375" defaultRowHeight="15" customHeight="1" x14ac:dyDescent="0.25"/>
  <cols>
    <col min="1" max="1" width="78" style="9" customWidth="1"/>
    <col min="2" max="2" width="23.7109375" style="9" customWidth="1"/>
    <col min="3" max="3" width="19.28515625" style="45" customWidth="1"/>
    <col min="4" max="4" width="13.5703125" style="24" customWidth="1"/>
    <col min="5" max="5" width="17.42578125" style="23" bestFit="1" customWidth="1"/>
    <col min="6" max="6" width="10.85546875" style="23" bestFit="1" customWidth="1"/>
    <col min="7" max="7" width="21" style="23" customWidth="1"/>
    <col min="8" max="8" width="10.85546875" style="23" bestFit="1" customWidth="1"/>
    <col min="9" max="10" width="10.85546875" style="23" customWidth="1"/>
    <col min="11" max="11" width="12.28515625" style="23" bestFit="1" customWidth="1"/>
    <col min="12" max="12" width="13" style="23" customWidth="1"/>
    <col min="13" max="13" width="4.85546875" style="24" customWidth="1"/>
    <col min="14" max="14" width="14.28515625" style="24" customWidth="1"/>
    <col min="15" max="16" width="10.85546875" style="24" bestFit="1" customWidth="1"/>
    <col min="17" max="17" width="15.28515625" style="24" bestFit="1" customWidth="1"/>
    <col min="18" max="18" width="9.85546875" style="24" bestFit="1" customWidth="1"/>
    <col min="19" max="20" width="10.85546875" style="23" bestFit="1" customWidth="1"/>
    <col min="21" max="25" width="10.85546875" style="23" customWidth="1"/>
    <col min="26" max="26" width="10.85546875" style="10" customWidth="1"/>
    <col min="27" max="27" width="16.140625" style="10" bestFit="1" customWidth="1"/>
    <col min="28" max="28" width="10.7109375" style="10"/>
    <col min="29" max="16384" width="10.7109375" style="9"/>
  </cols>
  <sheetData>
    <row r="1" spans="1:25" ht="15" customHeight="1" x14ac:dyDescent="0.25">
      <c r="A1" s="36" t="s">
        <v>21</v>
      </c>
      <c r="B1" s="36"/>
    </row>
    <row r="2" spans="1:25" ht="15" customHeight="1" thickBot="1" x14ac:dyDescent="0.3">
      <c r="A2" s="25" t="s">
        <v>35</v>
      </c>
    </row>
    <row r="3" spans="1:25" ht="15" customHeight="1" thickTop="1" x14ac:dyDescent="0.2">
      <c r="A3" s="43" t="s">
        <v>34</v>
      </c>
      <c r="B3" s="44" t="s">
        <v>36</v>
      </c>
      <c r="G3" s="46"/>
    </row>
    <row r="4" spans="1:25" s="1" customFormat="1" ht="15" customHeight="1" x14ac:dyDescent="0.2">
      <c r="A4" s="26" t="s">
        <v>27</v>
      </c>
      <c r="B4" s="17" t="s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1" customFormat="1" ht="15" customHeight="1" x14ac:dyDescent="0.2">
      <c r="A5" s="26" t="s">
        <v>1</v>
      </c>
      <c r="B5" s="15">
        <v>66</v>
      </c>
      <c r="C5" s="47"/>
      <c r="D5" s="4"/>
      <c r="E5" s="4"/>
      <c r="F5" s="4"/>
      <c r="G5" s="4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" customFormat="1" ht="15" customHeight="1" x14ac:dyDescent="0.2">
      <c r="A6" s="26" t="s">
        <v>0</v>
      </c>
      <c r="B6" s="16">
        <v>60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1" customFormat="1" ht="15" customHeight="1" x14ac:dyDescent="0.2">
      <c r="A7" s="26" t="s">
        <v>28</v>
      </c>
      <c r="B7" s="17" t="s">
        <v>30</v>
      </c>
      <c r="C7" s="48"/>
      <c r="D7" s="48"/>
      <c r="E7" s="4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1" customFormat="1" ht="15" customHeight="1" x14ac:dyDescent="0.2">
      <c r="A8" s="26" t="s">
        <v>2</v>
      </c>
      <c r="B8" s="42">
        <v>41800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1" customFormat="1" ht="15" customHeight="1" x14ac:dyDescent="0.3">
      <c r="A9" s="26" t="s">
        <v>17</v>
      </c>
      <c r="B9" s="17">
        <v>0.5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1" customFormat="1" ht="15" customHeight="1" x14ac:dyDescent="0.2">
      <c r="A10" s="26" t="s">
        <v>16</v>
      </c>
      <c r="B10" s="22" t="s">
        <v>19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1" customFormat="1" ht="15" customHeight="1" x14ac:dyDescent="0.2">
      <c r="A11" s="26" t="s">
        <v>4</v>
      </c>
      <c r="B11" s="37">
        <f>IF(V_unit="V",V_sys,V_sys*1000)</f>
        <v>66000</v>
      </c>
      <c r="C11" s="4"/>
      <c r="D11" s="4"/>
      <c r="E11" s="49"/>
      <c r="F11" s="4"/>
      <c r="G11" s="4" t="str">
        <f>CONCATENATE("Sload =",B13," kVA , PF = ",B9," ",B10)</f>
        <v>Sload =41800 kVA , PF = 0.5 Lagging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1" customFormat="1" ht="17.25" x14ac:dyDescent="0.3">
      <c r="A12" s="26" t="s">
        <v>24</v>
      </c>
      <c r="B12" s="41">
        <f>IF(Load_unit="A",Load,IF(Load_unit="kA",Load*1000,    IF(AND(Phase="Single Phase",Load_unit="kVA"),Load*1000/Volt, IF(AND(Phase="Three Phase",Load_unit="kVA"),Load*1000/(SQRT(3)*Volt),      IF(AND(Phase="Single Phase",Load_unit="kW"),(Load*1000/PwrFact)/Volt, IF(AND(Phase="Three Phase",Load_unit="kW"),(Load*1000/PwrFact)/(SQRT(3)*Volt),"err"))))))</f>
        <v>365.65517048676298</v>
      </c>
      <c r="C12" s="47"/>
      <c r="D12" s="4"/>
      <c r="E12" s="50"/>
      <c r="F12" s="4"/>
      <c r="G12" s="4" t="str">
        <f>CONCATENATE("Ssupply = ",B27," kVA, PF = ",B23," ",B24)</f>
        <v>Ssupply = 21111 kVA, PF = 0.99 Lagging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1" customFormat="1" ht="15" customHeight="1" x14ac:dyDescent="0.3">
      <c r="A13" s="26" t="s">
        <v>32</v>
      </c>
      <c r="B13" s="40">
        <f>ROUND(IF(Phase="Single Phase",Volt*I_Load/1000,SQRT(3)*Volt*I_Load/1000),0)</f>
        <v>41800</v>
      </c>
      <c r="C13" s="5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1" customFormat="1" ht="15" customHeight="1" x14ac:dyDescent="0.3">
      <c r="A14" s="26" t="s">
        <v>33</v>
      </c>
      <c r="B14" s="38">
        <f>S_Load*PwrFact</f>
        <v>20900</v>
      </c>
      <c r="C14" s="5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1" customFormat="1" ht="15" customHeight="1" x14ac:dyDescent="0.3">
      <c r="A15" s="26" t="s">
        <v>31</v>
      </c>
      <c r="B15" s="39">
        <f>IF(LagLead="Lagging",SQRT(POWER(S_Load,2)-POWER(P_Load,2)),-SQRT(POWER(S_Load,2)-POWER(P_Load,2)))</f>
        <v>36199.861878189535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1" customFormat="1" ht="15" customHeight="1" x14ac:dyDescent="0.2">
      <c r="A16" s="26" t="s">
        <v>7</v>
      </c>
      <c r="B16" s="18">
        <v>0.5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6" s="1" customFormat="1" ht="15" customHeight="1" x14ac:dyDescent="0.2">
      <c r="A17" s="26" t="s">
        <v>6</v>
      </c>
      <c r="B17" s="19">
        <v>100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6" s="1" customFormat="1" ht="15" customHeight="1" x14ac:dyDescent="0.2">
      <c r="A18" s="26" t="s">
        <v>15</v>
      </c>
      <c r="B18" s="20">
        <v>100</v>
      </c>
      <c r="C18" s="4"/>
      <c r="D18" s="4"/>
      <c r="E18" s="4"/>
      <c r="F18" s="4"/>
      <c r="G18" s="4">
        <v>0</v>
      </c>
      <c r="H18" s="5">
        <f>B14</f>
        <v>20900</v>
      </c>
      <c r="I18" s="5">
        <v>0</v>
      </c>
      <c r="J18" s="5">
        <v>0</v>
      </c>
      <c r="K18" s="5">
        <f>B14</f>
        <v>20900</v>
      </c>
      <c r="L18" s="5">
        <f>B14</f>
        <v>20900</v>
      </c>
      <c r="M18" s="4">
        <v>0</v>
      </c>
      <c r="N18" s="5">
        <f>B14</f>
        <v>20900</v>
      </c>
      <c r="O18" s="5">
        <f>B14</f>
        <v>20900</v>
      </c>
      <c r="P18" s="5">
        <f>B14</f>
        <v>20900</v>
      </c>
      <c r="Q18" s="4">
        <v>0</v>
      </c>
      <c r="R18" s="5">
        <f>B14</f>
        <v>20900</v>
      </c>
      <c r="S18" s="4"/>
      <c r="T18" s="4"/>
      <c r="U18" s="4"/>
      <c r="V18" s="4"/>
      <c r="W18" s="4"/>
      <c r="X18" s="4"/>
      <c r="Y18" s="4"/>
    </row>
    <row r="19" spans="1:26" s="1" customFormat="1" ht="15" customHeight="1" x14ac:dyDescent="0.2">
      <c r="A19" s="26" t="s">
        <v>10</v>
      </c>
      <c r="B19" s="6">
        <f>B16*B14*B18</f>
        <v>1045000</v>
      </c>
      <c r="C19" s="4"/>
      <c r="D19" s="4"/>
      <c r="E19" s="4"/>
      <c r="F19" s="4"/>
      <c r="G19" s="4">
        <v>0</v>
      </c>
      <c r="H19" s="5">
        <v>0</v>
      </c>
      <c r="I19" s="5">
        <v>0</v>
      </c>
      <c r="J19" s="7">
        <f>B29</f>
        <v>-33222.560919267176</v>
      </c>
      <c r="K19" s="5">
        <v>0</v>
      </c>
      <c r="L19" s="7">
        <f>B15</f>
        <v>36199.861878189535</v>
      </c>
      <c r="M19" s="4">
        <v>0</v>
      </c>
      <c r="N19" s="7">
        <f>B15</f>
        <v>36199.861878189535</v>
      </c>
      <c r="O19" s="4">
        <v>0</v>
      </c>
      <c r="P19" s="7">
        <f>B26</f>
        <v>2977.3009589223593</v>
      </c>
      <c r="Q19" s="4">
        <v>0</v>
      </c>
      <c r="R19" s="7">
        <f>B26</f>
        <v>2977.3009589223593</v>
      </c>
      <c r="S19" s="4"/>
      <c r="T19" s="4"/>
      <c r="U19" s="4"/>
      <c r="V19" s="4"/>
      <c r="W19" s="4"/>
      <c r="X19" s="4"/>
      <c r="Y19" s="4"/>
    </row>
    <row r="20" spans="1:26" s="1" customFormat="1" ht="15" customHeight="1" x14ac:dyDescent="0.2">
      <c r="A20" s="26" t="s">
        <v>5</v>
      </c>
      <c r="B20" s="6">
        <f>B17*B13</f>
        <v>4180000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6" s="1" customFormat="1" ht="15" customHeight="1" thickBot="1" x14ac:dyDescent="0.25">
      <c r="A21" s="27" t="s">
        <v>8</v>
      </c>
      <c r="B21" s="8">
        <f>B20+B19</f>
        <v>5225000</v>
      </c>
      <c r="C21" s="4"/>
      <c r="D21" s="4"/>
      <c r="E21" s="4"/>
      <c r="F21" s="4"/>
      <c r="G21" s="4"/>
      <c r="H21" s="4"/>
      <c r="I21" s="4"/>
      <c r="J21" s="4"/>
      <c r="K21" s="4"/>
      <c r="L21" s="5">
        <f>MAX(B14,B15)</f>
        <v>36199.861878189535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6" ht="15" customHeight="1" thickTop="1" thickBot="1" x14ac:dyDescent="0.25">
      <c r="A22" s="25"/>
      <c r="G22" s="4"/>
      <c r="H22" s="4"/>
      <c r="I22" s="4"/>
      <c r="J22" s="4"/>
      <c r="K22" s="4"/>
      <c r="L22" s="4">
        <f>1.1*L21</f>
        <v>39819.84806600849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1"/>
    </row>
    <row r="23" spans="1:26" ht="18" thickTop="1" x14ac:dyDescent="0.2">
      <c r="A23" s="28" t="s">
        <v>18</v>
      </c>
      <c r="B23" s="14">
        <v>0.99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"/>
    </row>
    <row r="24" spans="1:26" ht="14.25" x14ac:dyDescent="0.2">
      <c r="A24" s="29" t="s">
        <v>20</v>
      </c>
      <c r="B24" s="22" t="s">
        <v>19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1"/>
    </row>
    <row r="25" spans="1:26" ht="15" customHeight="1" x14ac:dyDescent="0.3">
      <c r="A25" s="26" t="s">
        <v>22</v>
      </c>
      <c r="B25" s="11">
        <f>B14</f>
        <v>20900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1"/>
    </row>
    <row r="26" spans="1:26" ht="15" customHeight="1" x14ac:dyDescent="0.3">
      <c r="A26" s="26" t="s">
        <v>23</v>
      </c>
      <c r="B26" s="2">
        <f>IF(B24="Lagging",SQRT(POWER(B27,2)-POWER(B25,2)),-SQRT(POWER(B27,2)-POWER(B25,2)))</f>
        <v>2977.3009589223593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26" ht="15" customHeight="1" x14ac:dyDescent="0.3">
      <c r="A27" s="26" t="s">
        <v>26</v>
      </c>
      <c r="B27" s="3">
        <f>ROUND(B25/B23,0)</f>
        <v>21111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"/>
    </row>
    <row r="28" spans="1:26" ht="18" thickBot="1" x14ac:dyDescent="0.25">
      <c r="A28" s="32" t="s">
        <v>25</v>
      </c>
      <c r="B28" s="33">
        <f>B27*1000/B11</f>
        <v>319.86363636363637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26" ht="15" customHeight="1" thickTop="1" x14ac:dyDescent="0.25">
      <c r="A29" s="35" t="s">
        <v>29</v>
      </c>
      <c r="B29" s="34">
        <f>B26-B15</f>
        <v>-33222.560919267176</v>
      </c>
    </row>
    <row r="30" spans="1:26" ht="15" customHeight="1" x14ac:dyDescent="0.25">
      <c r="A30" s="30" t="s">
        <v>14</v>
      </c>
      <c r="B30" s="12">
        <f>1000000*B29*1000/(POWER(B11,2)*2*PI()*B6)</f>
        <v>-20.230849374322752</v>
      </c>
    </row>
    <row r="31" spans="1:26" ht="15" customHeight="1" x14ac:dyDescent="0.2">
      <c r="A31" s="26" t="s">
        <v>12</v>
      </c>
      <c r="B31" s="6">
        <f>B16*B14*B18</f>
        <v>1045000</v>
      </c>
    </row>
    <row r="32" spans="1:26" ht="15" customHeight="1" x14ac:dyDescent="0.2">
      <c r="A32" s="26" t="s">
        <v>13</v>
      </c>
      <c r="B32" s="6">
        <f>B17*B27</f>
        <v>2111100</v>
      </c>
    </row>
    <row r="33" spans="1:2" ht="15" customHeight="1" x14ac:dyDescent="0.25">
      <c r="A33" s="30" t="s">
        <v>11</v>
      </c>
      <c r="B33" s="13">
        <f>B31+B32</f>
        <v>3156100</v>
      </c>
    </row>
    <row r="34" spans="1:2" ht="15" customHeight="1" thickBot="1" x14ac:dyDescent="0.3">
      <c r="A34" s="31" t="s">
        <v>9</v>
      </c>
      <c r="B34" s="21">
        <f>B21-B33</f>
        <v>2068900</v>
      </c>
    </row>
    <row r="35" spans="1:2" ht="15" customHeight="1" thickTop="1" x14ac:dyDescent="0.25"/>
  </sheetData>
  <sheetProtection algorithmName="SHA-512" hashValue="4IPk3GTcQqDJJviBAhq/ejE62iFzA5w+9FLCgGZNE40ir5n7z477SyXN/8KYK07+UXX30KZKVd8pubCczbU9gg==" saltValue="g4nxmG6KImGPEyXy0BciVA==" spinCount="100000" sheet="1" objects="1" scenarios="1"/>
  <mergeCells count="1">
    <mergeCell ref="A1:B1"/>
  </mergeCells>
  <conditionalFormatting sqref="B5">
    <cfRule type="expression" dxfId="5" priority="1">
      <formula>$B$4="kV"</formula>
    </cfRule>
    <cfRule type="expression" dxfId="4" priority="2">
      <formula>$B$4="V"</formula>
    </cfRule>
  </conditionalFormatting>
  <conditionalFormatting sqref="B8">
    <cfRule type="expression" dxfId="3" priority="3">
      <formula>$B$7="A"</formula>
    </cfRule>
    <cfRule type="expression" dxfId="2" priority="4">
      <formula>$B$7="kA"</formula>
    </cfRule>
    <cfRule type="expression" dxfId="1" priority="5">
      <formula>$B$7="kVA"</formula>
    </cfRule>
    <cfRule type="expression" dxfId="0" priority="6">
      <formula>$B$7="kW"</formula>
    </cfRule>
  </conditionalFormatting>
  <dataValidations count="5">
    <dataValidation type="list" allowBlank="1" showInputMessage="1" showErrorMessage="1" sqref="B7" xr:uid="{00000000-0002-0000-0000-000000000000}">
      <formula1>"A,kA,kW,kVA"</formula1>
    </dataValidation>
    <dataValidation type="list" allowBlank="1" showInputMessage="1" showErrorMessage="1" sqref="B4" xr:uid="{00000000-0002-0000-0000-000001000000}">
      <formula1>"V,kV"</formula1>
    </dataValidation>
    <dataValidation type="decimal" allowBlank="1" showInputMessage="1" showErrorMessage="1" sqref="B9" xr:uid="{00000000-0002-0000-0000-000002000000}">
      <formula1>0</formula1>
      <formula2>1</formula2>
    </dataValidation>
    <dataValidation type="list" allowBlank="1" showInputMessage="1" showErrorMessage="1" sqref="B10 B24" xr:uid="{00000000-0002-0000-0000-000003000000}">
      <formula1>"Lagging,Leading"</formula1>
    </dataValidation>
    <dataValidation type="list" allowBlank="1" showInputMessage="1" showErrorMessage="1" sqref="B3" xr:uid="{923DFD06-3730-4777-A523-841B0718DEF1}">
      <formula1>"Single Phase,Three Phase"</formula1>
    </dataValidation>
  </dataValidations>
  <pageMargins left="0.70866141732283472" right="0.70866141732283472" top="0.94488188976377963" bottom="0.74803149606299213" header="0.31496062992125984" footer="0.31496062992125984"/>
  <pageSetup paperSize="9" orientation="portrait" horizontalDpi="0" verticalDpi="0" r:id="rId1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Sheet1</vt:lpstr>
      <vt:lpstr>I_Load</vt:lpstr>
      <vt:lpstr>LagLead</vt:lpstr>
      <vt:lpstr>Load</vt:lpstr>
      <vt:lpstr>Load_unit</vt:lpstr>
      <vt:lpstr>P_Load</vt:lpstr>
      <vt:lpstr>Phase</vt:lpstr>
      <vt:lpstr>PwrFact</vt:lpstr>
      <vt:lpstr>Q_Load</vt:lpstr>
      <vt:lpstr>S_Load</vt:lpstr>
      <vt:lpstr>V_sys</vt:lpstr>
      <vt:lpstr>V_unit</vt:lpstr>
      <vt:lpstr>Volt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Rodney Hughes</dc:creator>
  <cp:lastModifiedBy>Rodney Hughes</cp:lastModifiedBy>
  <cp:lastPrinted>2011-03-25T09:07:43Z</cp:lastPrinted>
  <dcterms:created xsi:type="dcterms:W3CDTF">2011-03-25T08:31:33Z</dcterms:created>
  <dcterms:modified xsi:type="dcterms:W3CDTF">2024-02-20T22:37:03Z</dcterms:modified>
</cp:coreProperties>
</file>