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" i="1" l="1"/>
  <c r="P5" i="1" l="1"/>
  <c r="O5" i="1" s="1"/>
  <c r="S5" i="1"/>
  <c r="S6" i="1"/>
  <c r="P4" i="1"/>
  <c r="O4" i="1" s="1"/>
  <c r="R5" i="1"/>
  <c r="R6" i="1"/>
  <c r="R4" i="1"/>
  <c r="F5" i="1" l="1"/>
  <c r="F4" i="1" l="1"/>
  <c r="X4" i="1" l="1"/>
  <c r="Y4" i="1" s="1"/>
  <c r="V4" i="1"/>
  <c r="W4" i="1" s="1"/>
  <c r="H4" i="1"/>
  <c r="H5" i="1" l="1"/>
  <c r="V5" i="1"/>
  <c r="W5" i="1" s="1"/>
  <c r="X5" i="1"/>
  <c r="Y5" i="1" s="1"/>
  <c r="M4" i="1"/>
  <c r="L4" i="1"/>
  <c r="U4" i="1"/>
  <c r="T4" i="1"/>
  <c r="T5" i="1" s="1"/>
  <c r="E5" i="1" s="1"/>
  <c r="U5" i="1" l="1"/>
  <c r="U6" i="1" s="1"/>
  <c r="N5" i="1"/>
  <c r="G5" i="1"/>
  <c r="G4" i="1"/>
  <c r="J4" i="1" l="1"/>
  <c r="I4" i="1"/>
  <c r="Z4" i="1" s="1"/>
  <c r="J5" i="1"/>
  <c r="I5" i="1"/>
  <c r="Z5" i="1" s="1"/>
  <c r="L5" i="1"/>
  <c r="M5" i="1"/>
  <c r="E6" i="1"/>
  <c r="A6" i="1"/>
  <c r="N6" i="1" l="1"/>
  <c r="G6" i="1"/>
  <c r="F6" i="1"/>
  <c r="V6" i="1" l="1"/>
  <c r="W6" i="1" s="1"/>
  <c r="H6" i="1"/>
  <c r="J6" i="1" s="1"/>
  <c r="O6" i="1"/>
  <c r="P6" i="1" s="1"/>
  <c r="X6" i="1"/>
  <c r="Y6" i="1" s="1"/>
  <c r="I6" i="1" l="1"/>
  <c r="Z6" i="1" s="1"/>
  <c r="M6" i="1"/>
  <c r="B6" i="1" s="1"/>
  <c r="B7" i="1" s="1"/>
</calcChain>
</file>

<file path=xl/sharedStrings.xml><?xml version="1.0" encoding="utf-8"?>
<sst xmlns="http://schemas.openxmlformats.org/spreadsheetml/2006/main" count="31" uniqueCount="30">
  <si>
    <t>R</t>
  </si>
  <si>
    <t>θ</t>
  </si>
  <si>
    <t>|Z|</t>
  </si>
  <si>
    <t>V</t>
  </si>
  <si>
    <t>Va</t>
  </si>
  <si>
    <t>Zr</t>
  </si>
  <si>
    <t>cos(θ)</t>
  </si>
  <si>
    <t>Farad</t>
  </si>
  <si>
    <t>PF λ = |P| / |S|</t>
  </si>
  <si>
    <t>φ I wrt V</t>
  </si>
  <si>
    <t>φ V wrt I</t>
  </si>
  <si>
    <r>
      <t>Cos(φ</t>
    </r>
    <r>
      <rPr>
        <vertAlign val="subscript"/>
        <sz val="11"/>
        <color theme="1"/>
        <rFont val="Tahoma"/>
        <family val="2"/>
      </rPr>
      <t>IwrtV</t>
    </r>
    <r>
      <rPr>
        <sz val="11"/>
        <color theme="1"/>
        <rFont val="Tahoma"/>
        <family val="2"/>
      </rPr>
      <t>)</t>
    </r>
  </si>
  <si>
    <r>
      <t>Cos(φ</t>
    </r>
    <r>
      <rPr>
        <vertAlign val="subscript"/>
        <sz val="11"/>
        <color theme="1"/>
        <rFont val="Tahoma"/>
        <family val="2"/>
      </rPr>
      <t>VwrtI</t>
    </r>
    <r>
      <rPr>
        <sz val="11"/>
        <color theme="1"/>
        <rFont val="Tahoma"/>
        <family val="2"/>
      </rPr>
      <t>)</t>
    </r>
  </si>
  <si>
    <t>Ix</t>
  </si>
  <si>
    <t>Iy</t>
  </si>
  <si>
    <t>Voltage</t>
  </si>
  <si>
    <t>Frequency</t>
  </si>
  <si>
    <t>Volts</t>
  </si>
  <si>
    <t>Lag</t>
  </si>
  <si>
    <t>microFarad</t>
  </si>
  <si>
    <t>Hertz</t>
  </si>
  <si>
    <t>Complex S (VA)</t>
  </si>
  <si>
    <t>P (W)</t>
  </si>
  <si>
    <t>Q (VAr)</t>
  </si>
  <si>
    <t>Initial</t>
  </si>
  <si>
    <t>Target</t>
  </si>
  <si>
    <t>Power Factor λ = |P| / |S|</t>
  </si>
  <si>
    <r>
      <t>I</t>
    </r>
    <r>
      <rPr>
        <vertAlign val="subscript"/>
        <sz val="11"/>
        <color theme="1"/>
        <rFont val="Tahoma"/>
        <family val="2"/>
      </rPr>
      <t>total</t>
    </r>
  </si>
  <si>
    <r>
      <t>I</t>
    </r>
    <r>
      <rPr>
        <vertAlign val="subscript"/>
        <sz val="11"/>
        <color theme="1"/>
        <rFont val="Tahoma"/>
        <family val="2"/>
      </rPr>
      <t>a</t>
    </r>
  </si>
  <si>
    <r>
      <t>S</t>
    </r>
    <r>
      <rPr>
        <vertAlign val="subscript"/>
        <sz val="11"/>
        <color theme="1"/>
        <rFont val="Tahoma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</si>
</sst>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 ;[Red]\-0.0000\ "/>
    <numFmt numFmtId="165" formatCode="0.00_ ;[Red]\-0.00\ "/>
    <numFmt numFmtId="166" formatCode="0.00000000"/>
    <numFmt numFmtId="168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 applyProtection="1">
      <alignment horizontal="right" vertical="top"/>
      <protection hidden="1"/>
    </xf>
    <xf numFmtId="0" fontId="3" fillId="0" borderId="1" xfId="0" applyFont="1" applyBorder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vertical="top"/>
      <protection hidden="1"/>
    </xf>
    <xf numFmtId="165" fontId="8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164" fontId="7" fillId="0" borderId="1" xfId="0" applyNumberFormat="1" applyFont="1" applyBorder="1" applyAlignment="1" applyProtection="1">
      <alignment horizontal="center" vertical="top"/>
      <protection hidden="1"/>
    </xf>
    <xf numFmtId="164" fontId="6" fillId="0" borderId="1" xfId="0" applyNumberFormat="1" applyFont="1" applyBorder="1" applyAlignment="1" applyProtection="1">
      <alignment vertical="top"/>
      <protection hidden="1"/>
    </xf>
    <xf numFmtId="164" fontId="5" fillId="0" borderId="1" xfId="0" applyNumberFormat="1" applyFont="1" applyBorder="1" applyAlignment="1" applyProtection="1">
      <alignment horizontal="center" vertical="top"/>
      <protection hidden="1"/>
    </xf>
    <xf numFmtId="165" fontId="6" fillId="0" borderId="1" xfId="0" applyNumberFormat="1" applyFont="1" applyBorder="1" applyAlignment="1" applyProtection="1">
      <alignment vertical="top"/>
      <protection hidden="1"/>
    </xf>
    <xf numFmtId="165" fontId="4" fillId="0" borderId="1" xfId="0" applyNumberFormat="1" applyFont="1" applyBorder="1" applyAlignment="1" applyProtection="1">
      <alignment vertical="top"/>
      <protection hidden="1"/>
    </xf>
    <xf numFmtId="165" fontId="5" fillId="0" borderId="1" xfId="0" applyNumberFormat="1" applyFont="1" applyBorder="1" applyAlignment="1" applyProtection="1">
      <alignment vertical="top"/>
      <protection hidden="1"/>
    </xf>
    <xf numFmtId="165" fontId="2" fillId="0" borderId="1" xfId="0" applyNumberFormat="1" applyFont="1" applyBorder="1" applyAlignment="1" applyProtection="1">
      <alignment vertical="top"/>
      <protection hidden="1"/>
    </xf>
    <xf numFmtId="164" fontId="8" fillId="0" borderId="1" xfId="0" applyNumberFormat="1" applyFont="1" applyBorder="1" applyAlignment="1" applyProtection="1">
      <alignment vertical="top"/>
      <protection hidden="1"/>
    </xf>
    <xf numFmtId="165" fontId="8" fillId="0" borderId="1" xfId="0" applyNumberFormat="1" applyFont="1" applyBorder="1" applyAlignment="1" applyProtection="1">
      <alignment vertical="top"/>
      <protection hidden="1"/>
    </xf>
    <xf numFmtId="164" fontId="8" fillId="0" borderId="2" xfId="0" applyNumberFormat="1" applyFont="1" applyBorder="1" applyAlignment="1" applyProtection="1">
      <alignment horizontal="right" vertical="center"/>
      <protection hidden="1"/>
    </xf>
    <xf numFmtId="164" fontId="8" fillId="0" borderId="0" xfId="0" applyNumberFormat="1" applyFont="1" applyAlignment="1" applyProtection="1">
      <alignment horizontal="right" vertical="center"/>
      <protection hidden="1"/>
    </xf>
    <xf numFmtId="165" fontId="8" fillId="0" borderId="2" xfId="0" applyNumberFormat="1" applyFont="1" applyBorder="1" applyAlignment="1" applyProtection="1">
      <alignment horizontal="right" vertical="center"/>
      <protection hidden="1"/>
    </xf>
    <xf numFmtId="164" fontId="8" fillId="0" borderId="3" xfId="0" applyNumberFormat="1" applyFont="1" applyBorder="1" applyAlignment="1" applyProtection="1">
      <alignment horizontal="right" vertical="center"/>
      <protection hidden="1"/>
    </xf>
    <xf numFmtId="165" fontId="8" fillId="0" borderId="3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8" fillId="2" borderId="1" xfId="0" applyFont="1" applyFill="1" applyBorder="1" applyAlignment="1" applyProtection="1">
      <alignment vertical="top"/>
      <protection locked="0" hidden="1"/>
    </xf>
    <xf numFmtId="0" fontId="5" fillId="2" borderId="1" xfId="0" applyFont="1" applyFill="1" applyBorder="1" applyAlignment="1" applyProtection="1">
      <alignment vertical="top"/>
      <protection locked="0" hidden="1"/>
    </xf>
    <xf numFmtId="0" fontId="3" fillId="2" borderId="1" xfId="0" applyFont="1" applyFill="1" applyBorder="1" applyAlignment="1" applyProtection="1">
      <alignment vertical="top"/>
      <protection locked="0" hidden="1"/>
    </xf>
    <xf numFmtId="0" fontId="1" fillId="0" borderId="1" xfId="0" applyFont="1" applyBorder="1" applyAlignment="1" applyProtection="1">
      <alignment horizontal="right" vertical="top"/>
      <protection hidden="1"/>
    </xf>
    <xf numFmtId="168" fontId="8" fillId="0" borderId="1" xfId="0" applyNumberFormat="1" applyFont="1" applyBorder="1" applyAlignment="1" applyProtection="1">
      <alignment vertical="top"/>
      <protection hidden="1"/>
    </xf>
    <xf numFmtId="168" fontId="8" fillId="0" borderId="2" xfId="0" applyNumberFormat="1" applyFont="1" applyBorder="1" applyAlignment="1" applyProtection="1">
      <alignment horizontal="right" vertical="center"/>
      <protection hidden="1"/>
    </xf>
    <xf numFmtId="168" fontId="8" fillId="0" borderId="3" xfId="0" applyNumberFormat="1" applyFont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alignment vertical="top"/>
      <protection hidden="1"/>
    </xf>
    <xf numFmtId="165" fontId="1" fillId="0" borderId="1" xfId="0" applyNumberFormat="1" applyFont="1" applyBorder="1" applyAlignment="1" applyProtection="1">
      <alignment vertical="top"/>
      <protection hidden="1"/>
    </xf>
    <xf numFmtId="0" fontId="2" fillId="0" borderId="2" xfId="0" applyFont="1" applyFill="1" applyBorder="1" applyAlignment="1" applyProtection="1">
      <alignment horizontal="right" vertical="top"/>
      <protection hidden="1"/>
    </xf>
    <xf numFmtId="0" fontId="1" fillId="0" borderId="4" xfId="0" applyFont="1" applyFill="1" applyBorder="1" applyAlignment="1" applyProtection="1">
      <alignment horizontal="center" vertical="top"/>
      <protection hidden="1"/>
    </xf>
    <xf numFmtId="0" fontId="1" fillId="0" borderId="5" xfId="0" applyFont="1" applyFill="1" applyBorder="1" applyAlignment="1" applyProtection="1">
      <alignment horizontal="center" vertical="top"/>
      <protection hidden="1"/>
    </xf>
    <xf numFmtId="166" fontId="8" fillId="3" borderId="1" xfId="0" applyNumberFormat="1" applyFont="1" applyFill="1" applyBorder="1" applyAlignment="1" applyProtection="1">
      <alignment vertical="top"/>
      <protection hidden="1"/>
    </xf>
    <xf numFmtId="0" fontId="5" fillId="3" borderId="1" xfId="0" applyFont="1" applyFill="1" applyBorder="1" applyAlignment="1" applyProtection="1">
      <alignment vertical="top"/>
      <protection hidden="1"/>
    </xf>
    <xf numFmtId="2" fontId="8" fillId="3" borderId="1" xfId="0" applyNumberFormat="1" applyFont="1" applyFill="1" applyBorder="1" applyAlignment="1" applyProtection="1">
      <alignment vertical="top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Normal="100" workbookViewId="0">
      <selection activeCell="C20" sqref="C20"/>
    </sheetView>
  </sheetViews>
  <sheetFormatPr defaultColWidth="10.7109375" defaultRowHeight="15" customHeight="1" x14ac:dyDescent="0.25"/>
  <cols>
    <col min="1" max="1" width="20.42578125" style="5" bestFit="1" customWidth="1"/>
    <col min="2" max="2" width="23.7109375" style="5" customWidth="1"/>
    <col min="3" max="3" width="19.28515625" style="5" customWidth="1"/>
    <col min="4" max="4" width="2.5703125" style="3" customWidth="1"/>
    <col min="5" max="6" width="10.85546875" style="4" bestFit="1" customWidth="1"/>
    <col min="7" max="7" width="21" style="4" customWidth="1"/>
    <col min="8" max="8" width="10.85546875" style="4" bestFit="1" customWidth="1"/>
    <col min="9" max="9" width="12.28515625" style="4" bestFit="1" customWidth="1"/>
    <col min="10" max="10" width="13" style="4" customWidth="1"/>
    <col min="11" max="11" width="2.5703125" style="3" customWidth="1"/>
    <col min="12" max="12" width="14.28515625" style="3" customWidth="1"/>
    <col min="13" max="13" width="16.42578125" style="3" customWidth="1"/>
    <col min="14" max="15" width="10.85546875" style="3" bestFit="1" customWidth="1"/>
    <col min="16" max="16" width="15.28515625" style="3" bestFit="1" customWidth="1"/>
    <col min="17" max="17" width="2.5703125" style="3" customWidth="1"/>
    <col min="18" max="19" width="10.85546875" style="4" bestFit="1" customWidth="1"/>
    <col min="20" max="25" width="10.85546875" style="4" customWidth="1"/>
    <col min="26" max="26" width="16.140625" style="4" bestFit="1" customWidth="1"/>
    <col min="27" max="27" width="10.7109375" style="4"/>
    <col min="28" max="16384" width="10.7109375" style="5"/>
  </cols>
  <sheetData>
    <row r="1" spans="1:27" ht="15" customHeight="1" x14ac:dyDescent="0.25">
      <c r="A1" s="1" t="s">
        <v>15</v>
      </c>
      <c r="B1" s="23">
        <v>22000</v>
      </c>
      <c r="C1" s="2" t="s">
        <v>17</v>
      </c>
    </row>
    <row r="2" spans="1:27" ht="15" customHeight="1" x14ac:dyDescent="0.25">
      <c r="A2" s="1" t="s">
        <v>16</v>
      </c>
      <c r="B2" s="23">
        <v>50</v>
      </c>
      <c r="C2" s="6" t="s">
        <v>20</v>
      </c>
    </row>
    <row r="3" spans="1:27" ht="15" customHeight="1" x14ac:dyDescent="0.25">
      <c r="A3" s="32"/>
      <c r="B3" s="33" t="s">
        <v>26</v>
      </c>
      <c r="C3" s="34"/>
      <c r="E3" s="31" t="s">
        <v>27</v>
      </c>
      <c r="F3" s="31" t="s">
        <v>28</v>
      </c>
      <c r="G3" s="13" t="s">
        <v>21</v>
      </c>
      <c r="H3" s="31" t="s">
        <v>29</v>
      </c>
      <c r="I3" s="13" t="s">
        <v>22</v>
      </c>
      <c r="J3" s="13" t="s">
        <v>23</v>
      </c>
      <c r="L3" s="7" t="s">
        <v>0</v>
      </c>
      <c r="M3" s="8" t="s">
        <v>5</v>
      </c>
      <c r="N3" s="7" t="s">
        <v>2</v>
      </c>
      <c r="O3" s="7" t="s">
        <v>1</v>
      </c>
      <c r="P3" s="9" t="s">
        <v>6</v>
      </c>
      <c r="R3" s="10" t="s">
        <v>3</v>
      </c>
      <c r="S3" s="10" t="s">
        <v>4</v>
      </c>
      <c r="T3" s="11" t="s">
        <v>13</v>
      </c>
      <c r="U3" s="11" t="s">
        <v>14</v>
      </c>
      <c r="V3" s="12" t="s">
        <v>9</v>
      </c>
      <c r="W3" s="12" t="s">
        <v>11</v>
      </c>
      <c r="X3" s="12" t="s">
        <v>10</v>
      </c>
      <c r="Y3" s="12" t="s">
        <v>12</v>
      </c>
      <c r="Z3" s="31" t="s">
        <v>8</v>
      </c>
    </row>
    <row r="4" spans="1:27" ht="15" customHeight="1" x14ac:dyDescent="0.25">
      <c r="A4" s="26" t="s">
        <v>24</v>
      </c>
      <c r="B4" s="24">
        <v>0.95</v>
      </c>
      <c r="C4" s="25" t="s">
        <v>18</v>
      </c>
      <c r="E4" s="30">
        <v>1000</v>
      </c>
      <c r="F4" s="15">
        <f>S4-O4</f>
        <v>-18.194872338766785</v>
      </c>
      <c r="G4" s="27">
        <f>R4*E4</f>
        <v>22000000</v>
      </c>
      <c r="H4" s="15">
        <f>S4+(-F4)</f>
        <v>18.194872338766785</v>
      </c>
      <c r="I4" s="27">
        <f>G4*COS(H4*PI()/180)</f>
        <v>20900000</v>
      </c>
      <c r="J4" s="27">
        <f>G4*SIN(H4*PI()/180)</f>
        <v>6869497.7982382402</v>
      </c>
      <c r="L4" s="14">
        <f>N4*COS(O4*PI()/180)</f>
        <v>20.9</v>
      </c>
      <c r="M4" s="14">
        <f>N4*SIN(O4*PI()/180)</f>
        <v>6.8694977982382408</v>
      </c>
      <c r="N4" s="14">
        <f>B1/E4</f>
        <v>22</v>
      </c>
      <c r="O4" s="14">
        <f>IF(C4="Lag",ACOS(P4)*180/PI(),-ACOS(P4)*180/PI())</f>
        <v>18.194872338766785</v>
      </c>
      <c r="P4" s="14">
        <f>B4</f>
        <v>0.95</v>
      </c>
      <c r="R4" s="15">
        <f t="shared" ref="R4:R6" si="0">$B$1</f>
        <v>22000</v>
      </c>
      <c r="S4" s="15">
        <v>0</v>
      </c>
      <c r="T4" s="15">
        <f>E4*COS(F4*PI()/180)</f>
        <v>950</v>
      </c>
      <c r="U4" s="15">
        <f>E4*SIN(F4*PI()/180)</f>
        <v>-312.24989991992004</v>
      </c>
      <c r="V4" s="15">
        <f>F4-S4</f>
        <v>-18.194872338766785</v>
      </c>
      <c r="W4" s="15">
        <f>COS(V4*PI()/180)</f>
        <v>0.95</v>
      </c>
      <c r="X4" s="15">
        <f>S4-F4</f>
        <v>18.194872338766785</v>
      </c>
      <c r="Y4" s="15">
        <f>COS(X4*PI()/180)</f>
        <v>0.95</v>
      </c>
      <c r="Z4" s="15">
        <f>ABS(I4)/ABS(G4)</f>
        <v>0.95</v>
      </c>
    </row>
    <row r="5" spans="1:27" ht="15" customHeight="1" x14ac:dyDescent="0.25">
      <c r="A5" s="26" t="s">
        <v>25</v>
      </c>
      <c r="B5" s="24">
        <v>0.99</v>
      </c>
      <c r="C5" s="25" t="s">
        <v>18</v>
      </c>
      <c r="D5" s="5"/>
      <c r="E5" s="15">
        <f>T5/COS(F5*PI()/180)</f>
        <v>959.59595959595958</v>
      </c>
      <c r="F5" s="15">
        <f>-O5</f>
        <v>-8.1096144559941834</v>
      </c>
      <c r="G5" s="27">
        <f>R5*E5</f>
        <v>21111111.111111112</v>
      </c>
      <c r="H5" s="15">
        <f>S5+(-F5)</f>
        <v>8.1096144559941834</v>
      </c>
      <c r="I5" s="27">
        <f>G5*COS(H5*PI()/180)</f>
        <v>20900000</v>
      </c>
      <c r="J5" s="27">
        <f>G5*SIN(H5*PI()/180)</f>
        <v>2978088.7068183548</v>
      </c>
      <c r="K5" s="5"/>
      <c r="L5" s="14">
        <f>N5*COS(O5*PI()/180)</f>
        <v>22.697052631578945</v>
      </c>
      <c r="M5" s="14">
        <f>N5*SIN(O5*PI()/180)</f>
        <v>3.2341548382855061</v>
      </c>
      <c r="N5" s="14">
        <f>R5/E5</f>
        <v>22.926315789473684</v>
      </c>
      <c r="O5" s="14">
        <f>IF(C5="Lag",ACOS(P5)*180/PI(),-ACOS(P5)*180/PI())</f>
        <v>8.1096144559941834</v>
      </c>
      <c r="P5" s="14">
        <f>B5</f>
        <v>0.99</v>
      </c>
      <c r="Q5" s="5"/>
      <c r="R5" s="15">
        <f t="shared" ref="R5" si="1">$B$1</f>
        <v>22000</v>
      </c>
      <c r="S5" s="15">
        <f>S4</f>
        <v>0</v>
      </c>
      <c r="T5" s="15">
        <f>T4</f>
        <v>950</v>
      </c>
      <c r="U5" s="15">
        <f>E5*SIN(F5*PI()/180)</f>
        <v>-135.36766849174339</v>
      </c>
      <c r="V5" s="15">
        <f>F5-S5</f>
        <v>-8.1096144559941834</v>
      </c>
      <c r="W5" s="15">
        <f>COS(V5*PI()/180)</f>
        <v>0.99</v>
      </c>
      <c r="X5" s="15">
        <f>S5-F5</f>
        <v>8.1096144559941834</v>
      </c>
      <c r="Y5" s="15">
        <f>COS(X5*PI()/180)</f>
        <v>0.99</v>
      </c>
      <c r="Z5" s="15">
        <f>ABS(I5)/ABS(G5)</f>
        <v>0.99</v>
      </c>
      <c r="AA5" s="5"/>
    </row>
    <row r="6" spans="1:27" ht="15" customHeight="1" x14ac:dyDescent="0.25">
      <c r="A6" s="38" t="str">
        <f>IF(U6&gt;=0,"Add C: ","Remove C: ")</f>
        <v xml:space="preserve">Add C: </v>
      </c>
      <c r="B6" s="35">
        <f>-1/((2*PI()*B2)*M6)</f>
        <v>2.5592437706289926E-5</v>
      </c>
      <c r="C6" s="36" t="s">
        <v>7</v>
      </c>
      <c r="D6" s="17"/>
      <c r="E6" s="18">
        <f>SQRT((POWER(T6,2)+POWER(U6,2)))</f>
        <v>176.88223142817665</v>
      </c>
      <c r="F6" s="18">
        <f>ASIN(U6/E6)*180/PI()</f>
        <v>90</v>
      </c>
      <c r="G6" s="28">
        <f>R6*E6</f>
        <v>3891409.0914198863</v>
      </c>
      <c r="H6" s="18">
        <f>S6+(-F6)</f>
        <v>-90</v>
      </c>
      <c r="I6" s="28">
        <f>G6*COS(H6*PI()/180)</f>
        <v>2.3837769178852155E-10</v>
      </c>
      <c r="J6" s="28">
        <f>G6*SIN(H6*PI()/180)</f>
        <v>-3891409.0914198863</v>
      </c>
      <c r="K6" s="17"/>
      <c r="L6" s="16">
        <v>0</v>
      </c>
      <c r="M6" s="16">
        <f>N6*SIN(O6*PI()/180)</f>
        <v>-124.37654038152012</v>
      </c>
      <c r="N6" s="16">
        <f>R6/E6</f>
        <v>124.37654038152012</v>
      </c>
      <c r="O6" s="16">
        <f>S6-F6</f>
        <v>-90</v>
      </c>
      <c r="P6" s="16">
        <f>COS(O6*PI()/180)</f>
        <v>6.1257422745431001E-17</v>
      </c>
      <c r="Q6" s="17"/>
      <c r="R6" s="18">
        <f t="shared" si="0"/>
        <v>22000</v>
      </c>
      <c r="S6" s="18">
        <f>S4</f>
        <v>0</v>
      </c>
      <c r="T6" s="18">
        <v>0</v>
      </c>
      <c r="U6" s="18">
        <f>U5-U4</f>
        <v>176.88223142817665</v>
      </c>
      <c r="V6" s="18">
        <f>F6-S6</f>
        <v>90</v>
      </c>
      <c r="W6" s="18">
        <f>COS(V6*PI()/180)</f>
        <v>6.1257422745431001E-17</v>
      </c>
      <c r="X6" s="18">
        <f>S6-F6</f>
        <v>-90</v>
      </c>
      <c r="Y6" s="18">
        <f>COS(X6*PI()/180)</f>
        <v>6.1257422745431001E-17</v>
      </c>
      <c r="Z6" s="18">
        <f>ABS(I6)/ABS(G6)</f>
        <v>6.1257422745431001E-17</v>
      </c>
    </row>
    <row r="7" spans="1:27" ht="15" customHeight="1" x14ac:dyDescent="0.25">
      <c r="A7" s="39"/>
      <c r="B7" s="37">
        <f>B6*1000000</f>
        <v>25.592437706289925</v>
      </c>
      <c r="C7" s="36" t="s">
        <v>19</v>
      </c>
      <c r="D7" s="17"/>
      <c r="E7" s="20"/>
      <c r="F7" s="20"/>
      <c r="G7" s="29"/>
      <c r="H7" s="20"/>
      <c r="I7" s="29"/>
      <c r="J7" s="29"/>
      <c r="K7" s="17"/>
      <c r="L7" s="19"/>
      <c r="M7" s="19"/>
      <c r="N7" s="19"/>
      <c r="O7" s="19"/>
      <c r="P7" s="19"/>
      <c r="Q7" s="17"/>
      <c r="R7" s="20"/>
      <c r="S7" s="20"/>
      <c r="T7" s="20"/>
      <c r="U7" s="20"/>
      <c r="V7" s="20"/>
      <c r="W7" s="20"/>
      <c r="X7" s="20"/>
      <c r="Y7" s="20"/>
      <c r="Z7" s="20"/>
    </row>
    <row r="8" spans="1:27" s="21" customFormat="1" ht="15" customHeight="1" x14ac:dyDescent="0.25"/>
    <row r="9" spans="1:27" s="21" customFormat="1" ht="15" customHeight="1" x14ac:dyDescent="0.25">
      <c r="J9" s="22"/>
    </row>
    <row r="10" spans="1:27" s="21" customFormat="1" ht="15" customHeight="1" x14ac:dyDescent="0.25"/>
    <row r="11" spans="1:27" s="21" customFormat="1" ht="15" customHeight="1" x14ac:dyDescent="0.25"/>
    <row r="12" spans="1:27" s="21" customFormat="1" ht="15" customHeight="1" x14ac:dyDescent="0.25"/>
    <row r="13" spans="1:27" s="21" customFormat="1" ht="15" customHeight="1" x14ac:dyDescent="0.25"/>
    <row r="14" spans="1:27" s="21" customFormat="1" ht="15" customHeight="1" x14ac:dyDescent="0.25"/>
    <row r="15" spans="1:27" s="21" customFormat="1" ht="15" customHeight="1" x14ac:dyDescent="0.25"/>
    <row r="16" spans="1:27" s="21" customFormat="1" ht="15" customHeight="1" x14ac:dyDescent="0.25"/>
    <row r="17" s="21" customFormat="1" ht="15" customHeight="1" x14ac:dyDescent="0.25"/>
    <row r="18" s="21" customFormat="1" ht="15" customHeight="1" x14ac:dyDescent="0.25"/>
  </sheetData>
  <sheetProtection password="C541" sheet="1" objects="1" scenarios="1"/>
  <mergeCells count="22">
    <mergeCell ref="B3:C3"/>
    <mergeCell ref="A6:A7"/>
    <mergeCell ref="L6:L7"/>
    <mergeCell ref="M6:M7"/>
    <mergeCell ref="N6:N7"/>
    <mergeCell ref="O6:O7"/>
    <mergeCell ref="P6:P7"/>
    <mergeCell ref="R6:R7"/>
    <mergeCell ref="S6:S7"/>
    <mergeCell ref="E6:E7"/>
    <mergeCell ref="F6:F7"/>
    <mergeCell ref="T6:T7"/>
    <mergeCell ref="U6:U7"/>
    <mergeCell ref="V6:V7"/>
    <mergeCell ref="I6:I7"/>
    <mergeCell ref="J6:J7"/>
    <mergeCell ref="Z6:Z7"/>
    <mergeCell ref="W6:W7"/>
    <mergeCell ref="X6:X7"/>
    <mergeCell ref="Y6:Y7"/>
    <mergeCell ref="G6:G7"/>
    <mergeCell ref="H6:H7"/>
  </mergeCells>
  <dataValidations count="2">
    <dataValidation type="decimal" allowBlank="1" showInputMessage="1" showErrorMessage="1" sqref="B4:B5">
      <formula1>0</formula1>
      <formula2>1</formula2>
    </dataValidation>
    <dataValidation type="list" allowBlank="1" showInputMessage="1" showErrorMessage="1" sqref="C4:C5">
      <formula1>"Lag,Lead"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2017-01-04T11:32:41Z</dcterms:modified>
</cp:coreProperties>
</file>