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Info-Technical\power systems\"/>
    </mc:Choice>
  </mc:AlternateContent>
  <xr:revisionPtr revIDLastSave="0" documentId="13_ncr:1_{09BC1ACC-36C1-413D-AA40-32BE70759E94}" xr6:coauthVersionLast="46" xr6:coauthVersionMax="46" xr10:uidLastSave="{00000000-0000-0000-0000-000000000000}"/>
  <workbookProtection workbookAlgorithmName="SHA-512" workbookHashValue="jtPup9zWmg1mkR3yUSK/p/bCq05Pb4HrtmJKYhbUCsmxTOBsyM3CAVrm7+SNWu0JmioKzjgpqJWng/TRyHnr/w==" workbookSaltValue="7WewDJbH2eAImXsCCEQshg==" workbookSpinCount="100000" lockStructure="1"/>
  <bookViews>
    <workbookView xWindow="-120" yWindow="-120" windowWidth="29040" windowHeight="15840" firstSheet="1" activeTab="1" xr2:uid="{00000000-000D-0000-FFFF-FFFF00000000}"/>
  </bookViews>
  <sheets>
    <sheet name="Polar" sheetId="4" state="hidden" r:id="rId1"/>
    <sheet name="Analysis" sheetId="1" r:id="rId2"/>
    <sheet name="Results" sheetId="5" state="hidden" r:id="rId3"/>
    <sheet name="Plot" sheetId="2" state="hidden" r:id="rId4"/>
  </sheets>
  <definedNames>
    <definedName name="_3I0x">Plot!$S$3</definedName>
    <definedName name="_3I0y">Plot!$T$3</definedName>
    <definedName name="_C1x">Plot!$G$5</definedName>
    <definedName name="_C1y">Plot!$H$5</definedName>
    <definedName name="_C2x">Plot!$K$5</definedName>
    <definedName name="_C2y">Plot!$L$5</definedName>
    <definedName name="A0a">#REF!</definedName>
    <definedName name="A0m">#REF!</definedName>
    <definedName name="A0x">Plot!$O$3</definedName>
    <definedName name="A0y">Plot!$P$3</definedName>
    <definedName name="A1a">#REF!</definedName>
    <definedName name="A1m">Analysis!$G$12</definedName>
    <definedName name="A1x">Plot!$G$3</definedName>
    <definedName name="A1y">Plot!$H$3</definedName>
    <definedName name="A2a">#REF!</definedName>
    <definedName name="a2Aa">Plot!$D$9</definedName>
    <definedName name="a2Am">Plot!$C$9</definedName>
    <definedName name="a2Ax">Plot!$C$16</definedName>
    <definedName name="a2Ay">Plot!$D$16</definedName>
    <definedName name="a2Ba">Plot!$D$11</definedName>
    <definedName name="a2Bm">Plot!$C$11</definedName>
    <definedName name="a2Bx">Plot!$C$18</definedName>
    <definedName name="a2By">Plot!$D$18</definedName>
    <definedName name="a2Ca">Plot!$D$13</definedName>
    <definedName name="a2Cm">Plot!$C$13</definedName>
    <definedName name="a2Cx">Plot!$C$20</definedName>
    <definedName name="a2Cy">Plot!$D$20</definedName>
    <definedName name="A2x">Plot!$K$3</definedName>
    <definedName name="A2y">Plot!$L$3</definedName>
    <definedName name="Aa">Analysis!$D$12</definedName>
    <definedName name="aAa">Plot!$D$8</definedName>
    <definedName name="aAm">Plot!$C$8</definedName>
    <definedName name="Aang">Analysis!$D$4</definedName>
    <definedName name="aAx">Plot!$C$15</definedName>
    <definedName name="aAy">Plot!$D$15</definedName>
    <definedName name="aBa">Plot!$D$10</definedName>
    <definedName name="aBm">Plot!$C$10</definedName>
    <definedName name="aBx">Plot!$C$17</definedName>
    <definedName name="aBy">Plot!$D$17</definedName>
    <definedName name="aCa">Plot!$D$12</definedName>
    <definedName name="aCm">Plot!$C$12</definedName>
    <definedName name="aCx">Plot!$C$19</definedName>
    <definedName name="aCy">Plot!$D$19</definedName>
    <definedName name="Am">Analysis!$C$12</definedName>
    <definedName name="Amag">Analysis!$C$4</definedName>
    <definedName name="AngA">Results!$D$12</definedName>
    <definedName name="AngB">Results!$D$13</definedName>
    <definedName name="AngC">Results!$D$14</definedName>
    <definedName name="Ax">Plot!$C$3</definedName>
    <definedName name="Axa">#REF!</definedName>
    <definedName name="Axm">#REF!</definedName>
    <definedName name="Ay">Plot!$D$3</definedName>
    <definedName name="B0x">Plot!$O$4</definedName>
    <definedName name="B0y">Plot!$P$4</definedName>
    <definedName name="B1a">Analysis!$H$13</definedName>
    <definedName name="B1m">Analysis!$G$13</definedName>
    <definedName name="B1x">Plot!$G$4</definedName>
    <definedName name="B1y">Plot!$H$4</definedName>
    <definedName name="B2x">Plot!$K$4</definedName>
    <definedName name="B2y">Plot!$L$4</definedName>
    <definedName name="Ba">Analysis!$D$13</definedName>
    <definedName name="Bang">Analysis!$D$5</definedName>
    <definedName name="Bm">Analysis!$C$13</definedName>
    <definedName name="Bmag">Analysis!$C$5</definedName>
    <definedName name="Boy">#REF!</definedName>
    <definedName name="Bx">Plot!$C$4</definedName>
    <definedName name="Bxa">#REF!</definedName>
    <definedName name="Bxm">#REF!</definedName>
    <definedName name="By">Plot!$D$4</definedName>
    <definedName name="C0x">Plot!$O$5</definedName>
    <definedName name="C0y">Plot!$P$5</definedName>
    <definedName name="Ca">Analysis!$D$14</definedName>
    <definedName name="Cang">Analysis!$D$6</definedName>
    <definedName name="Cm">Analysis!$C$14</definedName>
    <definedName name="Cmag">Analysis!$C$6</definedName>
    <definedName name="Cx">Plot!$C$5</definedName>
    <definedName name="Cxa">#REF!</definedName>
    <definedName name="Cxm">#REF!</definedName>
    <definedName name="Cy">Plot!$D$5</definedName>
    <definedName name="IneutMag">Results!$T$15</definedName>
    <definedName name="MagA">Results!$C$12</definedName>
    <definedName name="MagB">Results!$C$13</definedName>
    <definedName name="MagC">Results!$C$14</definedName>
    <definedName name="Method">Analysis!$H$3</definedName>
    <definedName name="NegAngA">Results!$L$12</definedName>
    <definedName name="NegAngB">Results!$L$13</definedName>
    <definedName name="NegAngC">Results!$L$14</definedName>
    <definedName name="NegMag">Results!$J$15</definedName>
    <definedName name="NegMagA">Results!$K$12</definedName>
    <definedName name="NegMagB">Results!$K$13</definedName>
    <definedName name="NegMagC">Results!$K$14</definedName>
    <definedName name="Neutral">Results!$R$10</definedName>
    <definedName name="PerUnit">Results!$B$7</definedName>
    <definedName name="PosAngA">Results!$H$12</definedName>
    <definedName name="PosAngB">Results!$H$13</definedName>
    <definedName name="PosAngC">Results!$H$14</definedName>
    <definedName name="PosMag">Results!$F$15</definedName>
    <definedName name="PosMagA">Results!$G$12</definedName>
    <definedName name="PosMagB">Results!$G$13</definedName>
    <definedName name="PosMagC">Results!$G$14</definedName>
    <definedName name="_xlnm.Print_Area" localSheetId="1">Analysis!$A$1:$U$17</definedName>
    <definedName name="PU">Plot!$B$39</definedName>
    <definedName name="Suggest">Results!$J$4</definedName>
    <definedName name="ThreeI0Ang">Results!$T$12</definedName>
    <definedName name="ThreeI0Mag">Results!$S$12</definedName>
    <definedName name="ThreeZero">Results!$R$12</definedName>
    <definedName name="Type">Analysis!$H$2</definedName>
    <definedName name="Units">Results!$H$1</definedName>
    <definedName name="ZeroAngA">Results!$P$12</definedName>
    <definedName name="ZeroAngB">Results!$P$13</definedName>
    <definedName name="ZeroAngC">Results!$P$14</definedName>
    <definedName name="ZeroMag">Results!$N$15</definedName>
    <definedName name="ZeroMagA">Results!$O$12</definedName>
    <definedName name="ZeroMagB">Results!$O$13</definedName>
    <definedName name="ZeroMagC">Results!$O$14</definedName>
  </definedNames>
  <calcPr calcId="191029"/>
</workbook>
</file>

<file path=xl/calcChain.xml><?xml version="1.0" encoding="utf-8"?>
<calcChain xmlns="http://schemas.openxmlformats.org/spreadsheetml/2006/main">
  <c r="T12" i="5" l="1"/>
  <c r="Z12" i="5"/>
  <c r="P12" i="5"/>
  <c r="Y12" i="5"/>
  <c r="L12" i="5"/>
  <c r="H12" i="5"/>
  <c r="D6" i="5"/>
  <c r="D5" i="5"/>
  <c r="W13" i="5"/>
  <c r="D13" i="5" s="1"/>
  <c r="D13" i="1" s="1"/>
  <c r="D12" i="5"/>
  <c r="D12" i="1" s="1"/>
  <c r="D4" i="5"/>
  <c r="C6" i="5"/>
  <c r="C5" i="5"/>
  <c r="C4" i="5"/>
  <c r="R12" i="5"/>
  <c r="R12" i="1" s="1"/>
  <c r="R10" i="5"/>
  <c r="R10" i="1" s="1"/>
  <c r="H1" i="5"/>
  <c r="J4" i="5"/>
  <c r="J4" i="1" s="1"/>
  <c r="N25" i="2"/>
  <c r="N24" i="2"/>
  <c r="C38" i="4"/>
  <c r="E38" i="4"/>
  <c r="G38" i="4"/>
  <c r="C39" i="4"/>
  <c r="E39" i="4"/>
  <c r="G39" i="4"/>
  <c r="W14" i="5" l="1"/>
  <c r="D14" i="5" s="1"/>
  <c r="D14" i="1" s="1"/>
  <c r="J25" i="2"/>
  <c r="J24" i="2"/>
  <c r="B39" i="2" l="1"/>
  <c r="C14" i="5" s="1"/>
  <c r="C12" i="5" l="1"/>
  <c r="C12" i="1" s="1"/>
  <c r="B7" i="5"/>
  <c r="B7" i="1" s="1"/>
  <c r="C14" i="1"/>
  <c r="C13" i="5"/>
  <c r="C13" i="1" s="1"/>
  <c r="D10" i="2"/>
  <c r="D12" i="2"/>
  <c r="C13" i="2" l="1"/>
  <c r="D5" i="2"/>
  <c r="C5" i="2"/>
  <c r="D13" i="2"/>
  <c r="C12" i="2"/>
  <c r="D11" i="2"/>
  <c r="C20" i="2" l="1"/>
  <c r="C4" i="2"/>
  <c r="D4" i="2"/>
  <c r="D3" i="2"/>
  <c r="C3" i="2"/>
  <c r="D20" i="2"/>
  <c r="H25" i="2"/>
  <c r="D8" i="2"/>
  <c r="D9" i="2"/>
  <c r="D19" i="2"/>
  <c r="C19" i="2"/>
  <c r="C10" i="2"/>
  <c r="C11" i="2"/>
  <c r="H24" i="2"/>
  <c r="C9" i="2"/>
  <c r="C8" i="2"/>
  <c r="O3" i="2" l="1"/>
  <c r="O5" i="2"/>
  <c r="H57" i="2" s="1"/>
  <c r="O4" i="2"/>
  <c r="H53" i="2" s="1"/>
  <c r="P4" i="2"/>
  <c r="H54" i="2" s="1"/>
  <c r="P3" i="2"/>
  <c r="P5" i="2"/>
  <c r="H58" i="2" s="1"/>
  <c r="D24" i="2"/>
  <c r="O24" i="2" s="1"/>
  <c r="P24" i="2" s="1"/>
  <c r="D25" i="2"/>
  <c r="O25" i="2" s="1"/>
  <c r="P25" i="2" s="1"/>
  <c r="F25" i="2"/>
  <c r="D16" i="2"/>
  <c r="H4" i="2" s="1"/>
  <c r="D54" i="2" s="1"/>
  <c r="C16" i="2"/>
  <c r="F24" i="2"/>
  <c r="C18" i="2"/>
  <c r="K3" i="2" s="1"/>
  <c r="D18" i="2"/>
  <c r="L3" i="2" s="1"/>
  <c r="D15" i="2"/>
  <c r="C15" i="2"/>
  <c r="D17" i="2"/>
  <c r="H3" i="2" s="1"/>
  <c r="C17" i="2"/>
  <c r="G3" i="2" s="1"/>
  <c r="K12" i="5" l="1"/>
  <c r="X12" i="5" s="1"/>
  <c r="G12" i="5"/>
  <c r="W12" i="5" s="1"/>
  <c r="O12" i="5"/>
  <c r="O12" i="1" s="1"/>
  <c r="P12" i="1"/>
  <c r="Q25" i="2"/>
  <c r="R25" i="2" s="1"/>
  <c r="S25" i="2" s="1"/>
  <c r="Q24" i="2"/>
  <c r="R24" i="2" s="1"/>
  <c r="S24" i="2" s="1"/>
  <c r="D49" i="2"/>
  <c r="F50" i="2"/>
  <c r="D50" i="2"/>
  <c r="F49" i="2"/>
  <c r="H50" i="2"/>
  <c r="H49" i="2"/>
  <c r="H5" i="2"/>
  <c r="K5" i="2"/>
  <c r="H32" i="2" s="1"/>
  <c r="D33" i="2"/>
  <c r="L5" i="2"/>
  <c r="G4" i="2"/>
  <c r="L4" i="2"/>
  <c r="G5" i="2"/>
  <c r="K4" i="2"/>
  <c r="D28" i="2"/>
  <c r="W3" i="2"/>
  <c r="D29" i="2"/>
  <c r="X3" i="2"/>
  <c r="D32" i="2"/>
  <c r="F29" i="2"/>
  <c r="T3" i="2"/>
  <c r="D37" i="2"/>
  <c r="H37" i="2" s="1"/>
  <c r="D36" i="2"/>
  <c r="H36" i="2" s="1"/>
  <c r="S3" i="2"/>
  <c r="H12" i="1" l="1"/>
  <c r="H14" i="5"/>
  <c r="H14" i="1" s="1"/>
  <c r="H13" i="5"/>
  <c r="H13" i="1" s="1"/>
  <c r="L14" i="5"/>
  <c r="L13" i="5"/>
  <c r="L12" i="1"/>
  <c r="K12" i="1"/>
  <c r="G12" i="1"/>
  <c r="P14" i="5"/>
  <c r="P14" i="1" s="1"/>
  <c r="P13" i="5"/>
  <c r="P13" i="1" s="1"/>
  <c r="D57" i="2"/>
  <c r="G14" i="5"/>
  <c r="G14" i="1" s="1"/>
  <c r="N15" i="5"/>
  <c r="N15" i="1" s="1"/>
  <c r="O13" i="5"/>
  <c r="O13" i="1" s="1"/>
  <c r="O14" i="5"/>
  <c r="O14" i="1" s="1"/>
  <c r="T12" i="1"/>
  <c r="S12" i="5"/>
  <c r="D53" i="2"/>
  <c r="G13" i="5"/>
  <c r="G13" i="1" s="1"/>
  <c r="J15" i="5"/>
  <c r="J15" i="1" s="1"/>
  <c r="K13" i="5"/>
  <c r="K13" i="1" s="1"/>
  <c r="K14" i="5"/>
  <c r="K14" i="1" s="1"/>
  <c r="B50" i="2"/>
  <c r="B49" i="2"/>
  <c r="F53" i="2"/>
  <c r="F58" i="2"/>
  <c r="F54" i="2"/>
  <c r="B54" i="2" s="1"/>
  <c r="F57" i="2"/>
  <c r="H29" i="2"/>
  <c r="D58" i="2"/>
  <c r="H33" i="2"/>
  <c r="X4" i="2"/>
  <c r="F32" i="2"/>
  <c r="F33" i="2"/>
  <c r="K25" i="2" s="1"/>
  <c r="X5" i="2"/>
  <c r="W4" i="2"/>
  <c r="F28" i="2"/>
  <c r="W5" i="2"/>
  <c r="H28" i="2"/>
  <c r="L13" i="1" l="1"/>
  <c r="L14" i="1"/>
  <c r="B57" i="2"/>
  <c r="T15" i="5"/>
  <c r="T15" i="1" s="1"/>
  <c r="S12" i="1"/>
  <c r="B53" i="2"/>
  <c r="B58" i="2"/>
  <c r="K24" i="2"/>
  <c r="F15" i="5" l="1"/>
  <c r="F15" i="1" s="1"/>
</calcChain>
</file>

<file path=xl/sharedStrings.xml><?xml version="1.0" encoding="utf-8"?>
<sst xmlns="http://schemas.openxmlformats.org/spreadsheetml/2006/main" count="163" uniqueCount="66">
  <si>
    <t>A</t>
  </si>
  <si>
    <t>B</t>
  </si>
  <si>
    <t>C</t>
  </si>
  <si>
    <t>Mag</t>
  </si>
  <si>
    <t>Ang</t>
  </si>
  <si>
    <t>A1</t>
  </si>
  <si>
    <t>B1</t>
  </si>
  <si>
    <t>C1</t>
  </si>
  <si>
    <t>A2</t>
  </si>
  <si>
    <t>A0</t>
  </si>
  <si>
    <t>B2</t>
  </si>
  <si>
    <t>B0</t>
  </si>
  <si>
    <t>C2</t>
  </si>
  <si>
    <t>C0</t>
  </si>
  <si>
    <t>αB</t>
  </si>
  <si>
    <t>αC</t>
  </si>
  <si>
    <t>X-Y Plot data</t>
  </si>
  <si>
    <t>Positive Sequence X-Y Plot data</t>
  </si>
  <si>
    <t>Negative Sequence X-Y Plot data</t>
  </si>
  <si>
    <t>Zero Sequence X-Y Plot data</t>
  </si>
  <si>
    <t>Enter Actual Values</t>
  </si>
  <si>
    <t>Phase</t>
  </si>
  <si>
    <t>Aph</t>
  </si>
  <si>
    <t>B Ph</t>
  </si>
  <si>
    <t>C Ph</t>
  </si>
  <si>
    <t>Mag (PU)</t>
  </si>
  <si>
    <t>X</t>
  </si>
  <si>
    <t>Y</t>
  </si>
  <si>
    <t>Actual Values (p.u.)</t>
  </si>
  <si>
    <t>Positive Sequence (p.u.)</t>
  </si>
  <si>
    <t>Negative Sequence (p.u.)</t>
  </si>
  <si>
    <t>Zero Sequence (p.u.)</t>
  </si>
  <si>
    <t>3Io</t>
  </si>
  <si>
    <t>Check</t>
  </si>
  <si>
    <t>A1+A2+A0</t>
  </si>
  <si>
    <t>B1+B2+B0</t>
  </si>
  <si>
    <t>C1+C2+C0</t>
  </si>
  <si>
    <t>+</t>
  </si>
  <si>
    <t>aA</t>
  </si>
  <si>
    <t>αA</t>
  </si>
  <si>
    <t>#I0</t>
  </si>
  <si>
    <t>Amps</t>
  </si>
  <si>
    <t>Suggest &gt;= Max of A, B, C</t>
  </si>
  <si>
    <t>C phase</t>
  </si>
  <si>
    <t>B phase</t>
  </si>
  <si>
    <t>A phase</t>
  </si>
  <si>
    <t>https://peltiertech.com/polar-plot-excel/</t>
  </si>
  <si>
    <t>Auto</t>
  </si>
  <si>
    <t>Per Unit:</t>
  </si>
  <si>
    <t>Measure:</t>
  </si>
  <si>
    <r>
      <t>α</t>
    </r>
    <r>
      <rPr>
        <vertAlign val="superscript"/>
        <sz val="11"/>
        <color theme="1"/>
        <rFont val="Consolas"/>
        <family val="3"/>
      </rPr>
      <t>2</t>
    </r>
    <r>
      <rPr>
        <sz val="11"/>
        <color theme="1"/>
        <rFont val="Consolas"/>
        <family val="3"/>
      </rPr>
      <t>A</t>
    </r>
  </si>
  <si>
    <r>
      <t>α</t>
    </r>
    <r>
      <rPr>
        <vertAlign val="superscript"/>
        <sz val="11"/>
        <color theme="1"/>
        <rFont val="Consolas"/>
        <family val="3"/>
      </rPr>
      <t>2</t>
    </r>
    <r>
      <rPr>
        <sz val="11"/>
        <color theme="1"/>
        <rFont val="Consolas"/>
        <family val="3"/>
      </rPr>
      <t>B</t>
    </r>
  </si>
  <si>
    <r>
      <t>α</t>
    </r>
    <r>
      <rPr>
        <vertAlign val="superscript"/>
        <sz val="11"/>
        <color theme="1"/>
        <rFont val="Consolas"/>
        <family val="3"/>
      </rPr>
      <t>2</t>
    </r>
    <r>
      <rPr>
        <sz val="11"/>
        <color theme="1"/>
        <rFont val="Consolas"/>
        <family val="3"/>
      </rPr>
      <t>C</t>
    </r>
  </si>
  <si>
    <t>è</t>
  </si>
  <si>
    <t>Neutral or Earth</t>
  </si>
  <si>
    <r>
      <t>A</t>
    </r>
    <r>
      <rPr>
        <vertAlign val="subscript"/>
        <sz val="10"/>
        <color theme="1"/>
        <rFont val="Consolas"/>
        <family val="3"/>
      </rPr>
      <t>1</t>
    </r>
  </si>
  <si>
    <r>
      <t>A</t>
    </r>
    <r>
      <rPr>
        <vertAlign val="subscript"/>
        <sz val="10"/>
        <color theme="1"/>
        <rFont val="Consolas"/>
        <family val="3"/>
      </rPr>
      <t>2</t>
    </r>
  </si>
  <si>
    <r>
      <t>A</t>
    </r>
    <r>
      <rPr>
        <vertAlign val="subscript"/>
        <sz val="10"/>
        <color theme="1"/>
        <rFont val="Consolas"/>
        <family val="3"/>
      </rPr>
      <t>0</t>
    </r>
  </si>
  <si>
    <r>
      <t>B</t>
    </r>
    <r>
      <rPr>
        <vertAlign val="subscript"/>
        <sz val="10"/>
        <color theme="1"/>
        <rFont val="Consolas"/>
        <family val="3"/>
      </rPr>
      <t>1</t>
    </r>
  </si>
  <si>
    <r>
      <t>B</t>
    </r>
    <r>
      <rPr>
        <vertAlign val="subscript"/>
        <sz val="10"/>
        <color theme="1"/>
        <rFont val="Consolas"/>
        <family val="3"/>
      </rPr>
      <t>2</t>
    </r>
  </si>
  <si>
    <r>
      <t>B</t>
    </r>
    <r>
      <rPr>
        <vertAlign val="subscript"/>
        <sz val="10"/>
        <color theme="1"/>
        <rFont val="Consolas"/>
        <family val="3"/>
      </rPr>
      <t>0</t>
    </r>
  </si>
  <si>
    <r>
      <t>C</t>
    </r>
    <r>
      <rPr>
        <vertAlign val="subscript"/>
        <sz val="10"/>
        <color theme="1"/>
        <rFont val="Consolas"/>
        <family val="3"/>
      </rPr>
      <t>1</t>
    </r>
  </si>
  <si>
    <r>
      <t>C</t>
    </r>
    <r>
      <rPr>
        <vertAlign val="subscript"/>
        <sz val="10"/>
        <color theme="1"/>
        <rFont val="Consolas"/>
        <family val="3"/>
      </rPr>
      <t>2</t>
    </r>
  </si>
  <si>
    <r>
      <t>C</t>
    </r>
    <r>
      <rPr>
        <vertAlign val="subscript"/>
        <sz val="10"/>
        <color theme="1"/>
        <rFont val="Consolas"/>
        <family val="3"/>
      </rPr>
      <t>0</t>
    </r>
  </si>
  <si>
    <t xml:space="preserve">Source
</t>
  </si>
  <si>
    <t>Use &gt;= Max of A, B,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</si>
</sst>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"/>
    <numFmt numFmtId="165" formatCode="0.0\ &quot;A&quot;"/>
    <numFmt numFmtId="166" formatCode="&quot;&lt;&quot;\ 0.0;&quot;&lt;&quot;\ \-0.0"/>
    <numFmt numFmtId="167" formatCode="0.0\ &quot;p.u.&quot;"/>
    <numFmt numFmtId="168" formatCode="0.00\ &quot;x&quot;"/>
    <numFmt numFmtId="169" formatCode="0.00\ &quot;y&quot;"/>
    <numFmt numFmtId="170" formatCode="0.00\ &quot;p.u.&quot;"/>
    <numFmt numFmtId="171" formatCode="0.000\ &quot;p.u.&quot;"/>
    <numFmt numFmtId="172" formatCode="0.0000000"/>
    <numFmt numFmtId="173" formatCode="0.0\ &quot;V&quot;"/>
    <numFmt numFmtId="174" formatCode="0.0\ \V"/>
    <numFmt numFmtId="175" formatCode="[$-F800]dddd\,\ mmmm\ dd\,\ yyyy"/>
    <numFmt numFmtId="176" formatCode="dddd\,\ dd\ mmmm\,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Consolas"/>
      <family val="3"/>
    </font>
    <font>
      <vertAlign val="superscript"/>
      <sz val="11"/>
      <color theme="1"/>
      <name val="Consolas"/>
      <family val="3"/>
    </font>
    <font>
      <b/>
      <sz val="11"/>
      <color theme="1"/>
      <name val="Consolas"/>
      <family val="3"/>
    </font>
    <font>
      <sz val="8"/>
      <color theme="0"/>
      <name val="Consolas"/>
      <family val="3"/>
    </font>
    <font>
      <b/>
      <sz val="11"/>
      <color theme="1"/>
      <name val="Wingdings"/>
      <charset val="2"/>
    </font>
    <font>
      <sz val="8"/>
      <color theme="1"/>
      <name val="Consolas"/>
      <family val="3"/>
    </font>
    <font>
      <sz val="11"/>
      <name val="Consolas"/>
      <family val="3"/>
    </font>
    <font>
      <sz val="10"/>
      <color theme="1"/>
      <name val="Consolas"/>
      <family val="3"/>
    </font>
    <font>
      <sz val="10"/>
      <color theme="0"/>
      <name val="Consolas"/>
      <family val="3"/>
    </font>
    <font>
      <b/>
      <sz val="10"/>
      <color theme="1"/>
      <name val="Consolas"/>
      <family val="3"/>
    </font>
    <font>
      <b/>
      <sz val="10"/>
      <color theme="1"/>
      <name val="Wingdings"/>
      <charset val="2"/>
    </font>
    <font>
      <vertAlign val="subscript"/>
      <sz val="10"/>
      <color theme="1"/>
      <name val="Consolas"/>
      <family val="3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1">
    <xf numFmtId="0" fontId="0" fillId="0" borderId="0" xfId="0"/>
    <xf numFmtId="0" fontId="1" fillId="0" borderId="0" xfId="0" applyFont="1"/>
    <xf numFmtId="0" fontId="1" fillId="16" borderId="0" xfId="0" applyFont="1" applyFill="1"/>
    <xf numFmtId="0" fontId="2" fillId="0" borderId="0" xfId="1"/>
    <xf numFmtId="9" fontId="1" fillId="0" borderId="0" xfId="0" applyNumberFormat="1" applyFont="1"/>
    <xf numFmtId="0" fontId="3" fillId="0" borderId="0" xfId="0" applyFont="1" applyAlignment="1" applyProtection="1">
      <alignment vertical="top"/>
      <protection hidden="1"/>
    </xf>
    <xf numFmtId="164" fontId="3" fillId="0" borderId="0" xfId="0" applyNumberFormat="1" applyFont="1" applyAlignment="1" applyProtection="1">
      <alignment vertical="top"/>
      <protection hidden="1"/>
    </xf>
    <xf numFmtId="172" fontId="3" fillId="0" borderId="0" xfId="0" applyNumberFormat="1" applyFont="1" applyAlignment="1" applyProtection="1">
      <alignment vertical="top"/>
      <protection hidden="1"/>
    </xf>
    <xf numFmtId="164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3" fillId="0" borderId="1" xfId="0" applyFont="1" applyBorder="1" applyAlignment="1" applyProtection="1">
      <alignment vertical="top"/>
      <protection hidden="1"/>
    </xf>
    <xf numFmtId="0" fontId="3" fillId="0" borderId="1" xfId="0" applyFont="1" applyBorder="1" applyAlignment="1" applyProtection="1">
      <alignment horizontal="center" vertical="top"/>
      <protection hidden="1"/>
    </xf>
    <xf numFmtId="172" fontId="3" fillId="0" borderId="1" xfId="0" applyNumberFormat="1" applyFont="1" applyBorder="1" applyAlignment="1" applyProtection="1">
      <alignment horizontal="center" vertical="top"/>
      <protection hidden="1"/>
    </xf>
    <xf numFmtId="164" fontId="3" fillId="0" borderId="1" xfId="0" applyNumberFormat="1" applyFont="1" applyBorder="1" applyAlignment="1" applyProtection="1">
      <alignment vertical="top"/>
      <protection hidden="1"/>
    </xf>
    <xf numFmtId="168" fontId="3" fillId="0" borderId="1" xfId="0" applyNumberFormat="1" applyFont="1" applyBorder="1" applyAlignment="1" applyProtection="1">
      <alignment horizontal="center" vertical="top"/>
      <protection hidden="1"/>
    </xf>
    <xf numFmtId="169" fontId="3" fillId="0" borderId="1" xfId="0" applyNumberFormat="1" applyFont="1" applyBorder="1" applyAlignment="1" applyProtection="1">
      <alignment horizontal="center" vertical="top"/>
      <protection hidden="1"/>
    </xf>
    <xf numFmtId="164" fontId="3" fillId="0" borderId="1" xfId="0" applyNumberFormat="1" applyFont="1" applyBorder="1" applyAlignment="1" applyProtection="1">
      <alignment horizontal="center" vertical="top"/>
      <protection hidden="1"/>
    </xf>
    <xf numFmtId="164" fontId="3" fillId="2" borderId="1" xfId="0" applyNumberFormat="1" applyFont="1" applyFill="1" applyBorder="1" applyAlignment="1" applyProtection="1">
      <alignment horizontal="center" vertical="top"/>
      <protection hidden="1"/>
    </xf>
    <xf numFmtId="167" fontId="3" fillId="0" borderId="1" xfId="0" applyNumberFormat="1" applyFont="1" applyBorder="1" applyAlignment="1" applyProtection="1">
      <alignment horizontal="center" vertical="top"/>
      <protection hidden="1"/>
    </xf>
    <xf numFmtId="166" fontId="3" fillId="0" borderId="1" xfId="0" applyNumberFormat="1" applyFont="1" applyBorder="1" applyAlignment="1" applyProtection="1">
      <alignment horizontal="center" vertical="top"/>
      <protection hidden="1"/>
    </xf>
    <xf numFmtId="0" fontId="3" fillId="3" borderId="2" xfId="0" applyFont="1" applyFill="1" applyBorder="1" applyAlignment="1" applyProtection="1">
      <alignment vertical="top"/>
      <protection hidden="1"/>
    </xf>
    <xf numFmtId="0" fontId="3" fillId="5" borderId="2" xfId="0" applyFont="1" applyFill="1" applyBorder="1" applyAlignment="1" applyProtection="1">
      <alignment vertical="top"/>
      <protection hidden="1"/>
    </xf>
    <xf numFmtId="0" fontId="3" fillId="12" borderId="2" xfId="0" applyFont="1" applyFill="1" applyBorder="1" applyAlignment="1" applyProtection="1">
      <alignment vertical="top"/>
      <protection hidden="1"/>
    </xf>
    <xf numFmtId="0" fontId="3" fillId="13" borderId="2" xfId="0" applyFont="1" applyFill="1" applyBorder="1" applyAlignment="1" applyProtection="1">
      <alignment vertical="top"/>
      <protection hidden="1"/>
    </xf>
    <xf numFmtId="0" fontId="3" fillId="11" borderId="2" xfId="0" applyFont="1" applyFill="1" applyBorder="1" applyAlignment="1" applyProtection="1">
      <alignment vertical="top"/>
      <protection hidden="1"/>
    </xf>
    <xf numFmtId="2" fontId="3" fillId="0" borderId="1" xfId="0" applyNumberFormat="1" applyFont="1" applyBorder="1" applyAlignment="1" applyProtection="1">
      <alignment vertical="top"/>
      <protection hidden="1"/>
    </xf>
    <xf numFmtId="0" fontId="3" fillId="0" borderId="0" xfId="0" applyFont="1"/>
    <xf numFmtId="0" fontId="3" fillId="4" borderId="2" xfId="0" applyFont="1" applyFill="1" applyBorder="1" applyAlignment="1" applyProtection="1">
      <alignment vertical="top"/>
      <protection hidden="1"/>
    </xf>
    <xf numFmtId="0" fontId="3" fillId="4" borderId="3" xfId="0" applyFont="1" applyFill="1" applyBorder="1" applyAlignment="1" applyProtection="1">
      <alignment vertical="top"/>
      <protection hidden="1"/>
    </xf>
    <xf numFmtId="0" fontId="3" fillId="4" borderId="4" xfId="0" applyFont="1" applyFill="1" applyBorder="1" applyAlignment="1" applyProtection="1">
      <alignment vertical="top"/>
      <protection hidden="1"/>
    </xf>
    <xf numFmtId="2" fontId="3" fillId="0" borderId="0" xfId="0" applyNumberFormat="1" applyFont="1" applyAlignment="1" applyProtection="1">
      <alignment vertical="top"/>
      <protection hidden="1"/>
    </xf>
    <xf numFmtId="2" fontId="3" fillId="0" borderId="0" xfId="0" applyNumberFormat="1" applyFont="1" applyProtection="1">
      <protection hidden="1"/>
    </xf>
    <xf numFmtId="172" fontId="3" fillId="0" borderId="0" xfId="0" applyNumberFormat="1" applyFont="1" applyProtection="1">
      <protection hidden="1"/>
    </xf>
    <xf numFmtId="164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2" fontId="3" fillId="0" borderId="0" xfId="0" applyNumberFormat="1" applyFont="1" applyAlignment="1" applyProtection="1">
      <alignment vertical="top"/>
    </xf>
    <xf numFmtId="164" fontId="3" fillId="2" borderId="9" xfId="0" applyNumberFormat="1" applyFont="1" applyFill="1" applyBorder="1" applyAlignment="1" applyProtection="1">
      <alignment horizontal="center" vertical="top"/>
    </xf>
    <xf numFmtId="173" fontId="3" fillId="2" borderId="1" xfId="0" applyNumberFormat="1" applyFont="1" applyFill="1" applyBorder="1" applyAlignment="1" applyProtection="1">
      <alignment horizontal="center" vertical="top"/>
      <protection locked="0"/>
    </xf>
    <xf numFmtId="166" fontId="3" fillId="2" borderId="10" xfId="0" applyNumberFormat="1" applyFont="1" applyFill="1" applyBorder="1" applyAlignment="1" applyProtection="1">
      <alignment horizontal="center" vertical="top"/>
      <protection locked="0"/>
    </xf>
    <xf numFmtId="164" fontId="3" fillId="3" borderId="9" xfId="0" applyNumberFormat="1" applyFont="1" applyFill="1" applyBorder="1" applyAlignment="1" applyProtection="1">
      <alignment horizontal="center" vertical="top"/>
    </xf>
    <xf numFmtId="165" fontId="3" fillId="3" borderId="1" xfId="0" applyNumberFormat="1" applyFont="1" applyFill="1" applyBorder="1" applyAlignment="1" applyProtection="1">
      <alignment horizontal="center" vertical="top"/>
      <protection locked="0"/>
    </xf>
    <xf numFmtId="166" fontId="3" fillId="3" borderId="10" xfId="0" applyNumberFormat="1" applyFont="1" applyFill="1" applyBorder="1" applyAlignment="1" applyProtection="1">
      <alignment horizontal="center" vertical="top"/>
      <protection locked="0"/>
    </xf>
    <xf numFmtId="164" fontId="3" fillId="5" borderId="11" xfId="0" applyNumberFormat="1" applyFont="1" applyFill="1" applyBorder="1" applyAlignment="1" applyProtection="1">
      <alignment horizontal="center" vertical="top"/>
    </xf>
    <xf numFmtId="165" fontId="3" fillId="5" borderId="12" xfId="0" applyNumberFormat="1" applyFont="1" applyFill="1" applyBorder="1" applyAlignment="1" applyProtection="1">
      <alignment horizontal="center" vertical="top"/>
      <protection locked="0"/>
    </xf>
    <xf numFmtId="166" fontId="3" fillId="5" borderId="13" xfId="0" applyNumberFormat="1" applyFont="1" applyFill="1" applyBorder="1" applyAlignment="1" applyProtection="1">
      <alignment horizontal="center" vertical="top"/>
      <protection locked="0"/>
    </xf>
    <xf numFmtId="164" fontId="3" fillId="15" borderId="0" xfId="0" applyNumberFormat="1" applyFont="1" applyFill="1" applyBorder="1" applyAlignment="1" applyProtection="1">
      <alignment vertical="top"/>
    </xf>
    <xf numFmtId="164" fontId="3" fillId="15" borderId="0" xfId="0" applyNumberFormat="1" applyFont="1" applyFill="1" applyBorder="1" applyProtection="1"/>
    <xf numFmtId="164" fontId="3" fillId="0" borderId="0" xfId="0" applyNumberFormat="1" applyFont="1" applyBorder="1" applyAlignment="1" applyProtection="1">
      <alignment vertical="top"/>
    </xf>
    <xf numFmtId="164" fontId="5" fillId="0" borderId="0" xfId="0" applyNumberFormat="1" applyFont="1" applyBorder="1" applyAlignment="1" applyProtection="1">
      <alignment vertical="top"/>
    </xf>
    <xf numFmtId="164" fontId="5" fillId="0" borderId="0" xfId="0" applyNumberFormat="1" applyFont="1" applyAlignment="1" applyProtection="1">
      <alignment vertical="top"/>
    </xf>
    <xf numFmtId="0" fontId="5" fillId="0" borderId="0" xfId="0" applyFont="1" applyAlignment="1" applyProtection="1">
      <alignment vertical="top"/>
    </xf>
    <xf numFmtId="2" fontId="5" fillId="0" borderId="0" xfId="0" applyNumberFormat="1" applyFont="1" applyAlignment="1" applyProtection="1">
      <alignment vertical="top"/>
    </xf>
    <xf numFmtId="164" fontId="3" fillId="0" borderId="0" xfId="0" applyNumberFormat="1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164" fontId="3" fillId="2" borderId="1" xfId="0" applyNumberFormat="1" applyFont="1" applyFill="1" applyBorder="1" applyAlignment="1" applyProtection="1">
      <alignment horizontal="center" vertical="top"/>
    </xf>
    <xf numFmtId="171" fontId="3" fillId="2" borderId="1" xfId="0" applyNumberFormat="1" applyFont="1" applyFill="1" applyBorder="1" applyAlignment="1" applyProtection="1">
      <alignment horizontal="center" vertical="top"/>
    </xf>
    <xf numFmtId="166" fontId="3" fillId="2" borderId="1" xfId="0" applyNumberFormat="1" applyFont="1" applyFill="1" applyBorder="1" applyAlignment="1" applyProtection="1">
      <alignment horizontal="center" vertical="top"/>
    </xf>
    <xf numFmtId="170" fontId="3" fillId="2" borderId="1" xfId="0" applyNumberFormat="1" applyFont="1" applyFill="1" applyBorder="1" applyAlignment="1" applyProtection="1">
      <alignment horizontal="center" vertical="top"/>
    </xf>
    <xf numFmtId="164" fontId="3" fillId="3" borderId="1" xfId="0" applyNumberFormat="1" applyFont="1" applyFill="1" applyBorder="1" applyAlignment="1" applyProtection="1">
      <alignment horizontal="center" vertical="top"/>
    </xf>
    <xf numFmtId="171" fontId="3" fillId="3" borderId="1" xfId="0" applyNumberFormat="1" applyFont="1" applyFill="1" applyBorder="1" applyAlignment="1" applyProtection="1">
      <alignment horizontal="center" vertical="top"/>
    </xf>
    <xf numFmtId="166" fontId="3" fillId="3" borderId="1" xfId="0" applyNumberFormat="1" applyFont="1" applyFill="1" applyBorder="1" applyAlignment="1" applyProtection="1">
      <alignment horizontal="center" vertical="top"/>
    </xf>
    <xf numFmtId="170" fontId="3" fillId="3" borderId="1" xfId="0" applyNumberFormat="1" applyFont="1" applyFill="1" applyBorder="1" applyAlignment="1" applyProtection="1">
      <alignment horizontal="center" vertical="top"/>
    </xf>
    <xf numFmtId="164" fontId="3" fillId="5" borderId="1" xfId="0" applyNumberFormat="1" applyFont="1" applyFill="1" applyBorder="1" applyAlignment="1" applyProtection="1">
      <alignment horizontal="center" vertical="top"/>
    </xf>
    <xf numFmtId="171" fontId="3" fillId="5" borderId="1" xfId="0" applyNumberFormat="1" applyFont="1" applyFill="1" applyBorder="1" applyAlignment="1" applyProtection="1">
      <alignment horizontal="center" vertical="top"/>
    </xf>
    <xf numFmtId="166" fontId="3" fillId="5" borderId="1" xfId="0" applyNumberFormat="1" applyFont="1" applyFill="1" applyBorder="1" applyAlignment="1" applyProtection="1">
      <alignment horizontal="center" vertical="top"/>
    </xf>
    <xf numFmtId="170" fontId="3" fillId="5" borderId="1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Protection="1"/>
    <xf numFmtId="174" fontId="3" fillId="15" borderId="1" xfId="0" applyNumberFormat="1" applyFont="1" applyFill="1" applyBorder="1" applyAlignment="1" applyProtection="1">
      <alignment horizontal="right" vertical="top"/>
    </xf>
    <xf numFmtId="0" fontId="3" fillId="15" borderId="14" xfId="0" applyFont="1" applyFill="1" applyBorder="1" applyAlignment="1" applyProtection="1">
      <alignment vertical="top"/>
    </xf>
    <xf numFmtId="0" fontId="3" fillId="15" borderId="15" xfId="0" applyFont="1" applyFill="1" applyBorder="1" applyAlignment="1" applyProtection="1">
      <alignment vertical="top"/>
    </xf>
    <xf numFmtId="164" fontId="3" fillId="15" borderId="15" xfId="0" applyNumberFormat="1" applyFont="1" applyFill="1" applyBorder="1" applyAlignment="1" applyProtection="1">
      <alignment vertical="top"/>
    </xf>
    <xf numFmtId="164" fontId="3" fillId="15" borderId="15" xfId="0" applyNumberFormat="1" applyFont="1" applyFill="1" applyBorder="1" applyProtection="1"/>
    <xf numFmtId="164" fontId="3" fillId="15" borderId="16" xfId="0" applyNumberFormat="1" applyFont="1" applyFill="1" applyBorder="1" applyProtection="1"/>
    <xf numFmtId="0" fontId="3" fillId="15" borderId="17" xfId="0" applyFont="1" applyFill="1" applyBorder="1" applyAlignment="1" applyProtection="1">
      <alignment vertical="top"/>
    </xf>
    <xf numFmtId="164" fontId="3" fillId="8" borderId="0" xfId="0" applyNumberFormat="1" applyFont="1" applyFill="1" applyBorder="1" applyAlignment="1" applyProtection="1">
      <alignment horizontal="center" vertical="top"/>
      <protection locked="0"/>
    </xf>
    <xf numFmtId="164" fontId="3" fillId="15" borderId="18" xfId="0" applyNumberFormat="1" applyFont="1" applyFill="1" applyBorder="1" applyProtection="1"/>
    <xf numFmtId="164" fontId="3" fillId="15" borderId="0" xfId="0" applyNumberFormat="1" applyFont="1" applyFill="1" applyBorder="1" applyAlignment="1" applyProtection="1">
      <alignment horizontal="right" vertical="top"/>
    </xf>
    <xf numFmtId="0" fontId="3" fillId="15" borderId="0" xfId="0" applyFont="1" applyFill="1" applyBorder="1" applyAlignment="1" applyProtection="1">
      <alignment vertical="top"/>
    </xf>
    <xf numFmtId="0" fontId="5" fillId="15" borderId="17" xfId="0" applyFont="1" applyFill="1" applyBorder="1" applyAlignment="1" applyProtection="1">
      <alignment vertical="top"/>
    </xf>
    <xf numFmtId="164" fontId="7" fillId="15" borderId="0" xfId="0" applyNumberFormat="1" applyFont="1" applyFill="1" applyBorder="1" applyAlignment="1" applyProtection="1">
      <alignment horizontal="center" vertical="center"/>
    </xf>
    <xf numFmtId="0" fontId="5" fillId="15" borderId="18" xfId="0" applyFont="1" applyFill="1" applyBorder="1" applyAlignment="1" applyProtection="1">
      <alignment vertical="top"/>
    </xf>
    <xf numFmtId="0" fontId="3" fillId="15" borderId="18" xfId="0" applyFont="1" applyFill="1" applyBorder="1" applyAlignment="1" applyProtection="1">
      <alignment vertical="top"/>
    </xf>
    <xf numFmtId="0" fontId="3" fillId="15" borderId="9" xfId="0" applyFont="1" applyFill="1" applyBorder="1" applyAlignment="1" applyProtection="1">
      <alignment horizontal="center" vertical="top"/>
    </xf>
    <xf numFmtId="164" fontId="3" fillId="15" borderId="1" xfId="0" applyNumberFormat="1" applyFont="1" applyFill="1" applyBorder="1" applyAlignment="1" applyProtection="1">
      <alignment horizontal="center" vertical="top"/>
    </xf>
    <xf numFmtId="164" fontId="3" fillId="15" borderId="10" xfId="0" applyNumberFormat="1" applyFont="1" applyFill="1" applyBorder="1" applyAlignment="1" applyProtection="1">
      <alignment horizontal="center" vertical="top"/>
    </xf>
    <xf numFmtId="0" fontId="3" fillId="15" borderId="1" xfId="0" applyFont="1" applyFill="1" applyBorder="1" applyAlignment="1" applyProtection="1">
      <alignment horizontal="center" vertical="top"/>
    </xf>
    <xf numFmtId="171" fontId="3" fillId="15" borderId="1" xfId="0" applyNumberFormat="1" applyFont="1" applyFill="1" applyBorder="1" applyAlignment="1" applyProtection="1">
      <alignment horizontal="center" vertical="top"/>
    </xf>
    <xf numFmtId="166" fontId="3" fillId="15" borderId="1" xfId="0" applyNumberFormat="1" applyFont="1" applyFill="1" applyBorder="1" applyAlignment="1" applyProtection="1">
      <alignment horizontal="center" vertical="top"/>
    </xf>
    <xf numFmtId="164" fontId="3" fillId="15" borderId="1" xfId="0" applyNumberFormat="1" applyFont="1" applyFill="1" applyBorder="1" applyAlignment="1" applyProtection="1">
      <alignment vertical="top"/>
    </xf>
    <xf numFmtId="0" fontId="3" fillId="15" borderId="19" xfId="0" applyFont="1" applyFill="1" applyBorder="1" applyAlignment="1" applyProtection="1">
      <alignment vertical="top"/>
    </xf>
    <xf numFmtId="0" fontId="3" fillId="15" borderId="20" xfId="0" applyFont="1" applyFill="1" applyBorder="1" applyAlignment="1" applyProtection="1">
      <alignment vertical="top"/>
    </xf>
    <xf numFmtId="164" fontId="3" fillId="15" borderId="20" xfId="0" applyNumberFormat="1" applyFont="1" applyFill="1" applyBorder="1" applyAlignment="1" applyProtection="1">
      <alignment vertical="top"/>
    </xf>
    <xf numFmtId="164" fontId="3" fillId="15" borderId="20" xfId="0" applyNumberFormat="1" applyFont="1" applyFill="1" applyBorder="1" applyProtection="1"/>
    <xf numFmtId="164" fontId="3" fillId="15" borderId="21" xfId="0" applyNumberFormat="1" applyFont="1" applyFill="1" applyBorder="1" applyProtection="1"/>
    <xf numFmtId="164" fontId="5" fillId="15" borderId="0" xfId="0" applyNumberFormat="1" applyFont="1" applyFill="1" applyBorder="1" applyAlignment="1" applyProtection="1">
      <alignment horizontal="center" vertical="center"/>
    </xf>
    <xf numFmtId="164" fontId="3" fillId="14" borderId="1" xfId="0" applyNumberFormat="1" applyFont="1" applyFill="1" applyBorder="1" applyAlignment="1" applyProtection="1">
      <alignment horizontal="center" vertical="top"/>
    </xf>
    <xf numFmtId="164" fontId="3" fillId="9" borderId="1" xfId="0" applyNumberFormat="1" applyFont="1" applyFill="1" applyBorder="1" applyAlignment="1" applyProtection="1">
      <alignment horizontal="center" vertical="top"/>
    </xf>
    <xf numFmtId="164" fontId="3" fillId="7" borderId="1" xfId="0" applyNumberFormat="1" applyFont="1" applyFill="1" applyBorder="1" applyAlignment="1" applyProtection="1">
      <alignment horizontal="center" vertical="top"/>
    </xf>
    <xf numFmtId="164" fontId="3" fillId="6" borderId="1" xfId="0" applyNumberFormat="1" applyFont="1" applyFill="1" applyBorder="1" applyAlignment="1" applyProtection="1">
      <alignment horizontal="center" vertical="top"/>
    </xf>
    <xf numFmtId="164" fontId="9" fillId="15" borderId="15" xfId="0" applyNumberFormat="1" applyFont="1" applyFill="1" applyBorder="1" applyAlignment="1" applyProtection="1">
      <alignment vertical="top"/>
    </xf>
    <xf numFmtId="0" fontId="10" fillId="15" borderId="14" xfId="0" applyFont="1" applyFill="1" applyBorder="1" applyAlignment="1" applyProtection="1">
      <alignment vertical="top"/>
    </xf>
    <xf numFmtId="0" fontId="10" fillId="15" borderId="15" xfId="0" applyFont="1" applyFill="1" applyBorder="1" applyAlignment="1" applyProtection="1">
      <alignment vertical="top"/>
    </xf>
    <xf numFmtId="164" fontId="10" fillId="15" borderId="15" xfId="0" applyNumberFormat="1" applyFont="1" applyFill="1" applyBorder="1" applyAlignment="1" applyProtection="1">
      <alignment vertical="top"/>
    </xf>
    <xf numFmtId="164" fontId="11" fillId="15" borderId="15" xfId="0" applyNumberFormat="1" applyFont="1" applyFill="1" applyBorder="1" applyAlignment="1" applyProtection="1">
      <alignment vertical="top"/>
    </xf>
    <xf numFmtId="164" fontId="10" fillId="15" borderId="15" xfId="0" applyNumberFormat="1" applyFont="1" applyFill="1" applyBorder="1" applyProtection="1"/>
    <xf numFmtId="164" fontId="10" fillId="15" borderId="16" xfId="0" applyNumberFormat="1" applyFont="1" applyFill="1" applyBorder="1" applyProtection="1"/>
    <xf numFmtId="164" fontId="10" fillId="0" borderId="0" xfId="0" applyNumberFormat="1" applyFont="1" applyAlignment="1" applyProtection="1">
      <alignment vertical="top"/>
    </xf>
    <xf numFmtId="0" fontId="10" fillId="0" borderId="0" xfId="0" applyFont="1" applyAlignment="1" applyProtection="1">
      <alignment vertical="top"/>
    </xf>
    <xf numFmtId="2" fontId="10" fillId="0" borderId="0" xfId="0" applyNumberFormat="1" applyFont="1" applyAlignment="1" applyProtection="1">
      <alignment vertical="top"/>
    </xf>
    <xf numFmtId="0" fontId="10" fillId="15" borderId="17" xfId="0" applyFont="1" applyFill="1" applyBorder="1" applyAlignment="1" applyProtection="1">
      <alignment vertical="top"/>
    </xf>
    <xf numFmtId="164" fontId="10" fillId="15" borderId="0" xfId="0" applyNumberFormat="1" applyFont="1" applyFill="1" applyBorder="1" applyAlignment="1" applyProtection="1">
      <alignment vertical="top"/>
    </xf>
    <xf numFmtId="164" fontId="10" fillId="15" borderId="0" xfId="0" applyNumberFormat="1" applyFont="1" applyFill="1" applyBorder="1" applyAlignment="1" applyProtection="1">
      <alignment horizontal="right" vertical="top"/>
    </xf>
    <xf numFmtId="164" fontId="10" fillId="8" borderId="0" xfId="0" applyNumberFormat="1" applyFont="1" applyFill="1" applyBorder="1" applyAlignment="1" applyProtection="1">
      <alignment horizontal="center" vertical="top"/>
      <protection locked="0"/>
    </xf>
    <xf numFmtId="164" fontId="10" fillId="15" borderId="0" xfId="0" applyNumberFormat="1" applyFont="1" applyFill="1" applyBorder="1" applyProtection="1"/>
    <xf numFmtId="164" fontId="10" fillId="15" borderId="18" xfId="0" applyNumberFormat="1" applyFont="1" applyFill="1" applyBorder="1" applyProtection="1"/>
    <xf numFmtId="0" fontId="10" fillId="15" borderId="9" xfId="0" applyFont="1" applyFill="1" applyBorder="1" applyAlignment="1" applyProtection="1">
      <alignment horizontal="center" vertical="top"/>
    </xf>
    <xf numFmtId="164" fontId="10" fillId="15" borderId="1" xfId="0" applyNumberFormat="1" applyFont="1" applyFill="1" applyBorder="1" applyAlignment="1" applyProtection="1">
      <alignment horizontal="center" vertical="top"/>
    </xf>
    <xf numFmtId="164" fontId="10" fillId="15" borderId="10" xfId="0" applyNumberFormat="1" applyFont="1" applyFill="1" applyBorder="1" applyAlignment="1" applyProtection="1">
      <alignment horizontal="center" vertical="top"/>
    </xf>
    <xf numFmtId="164" fontId="10" fillId="2" borderId="9" xfId="0" applyNumberFormat="1" applyFont="1" applyFill="1" applyBorder="1" applyAlignment="1" applyProtection="1">
      <alignment horizontal="center" vertical="top"/>
    </xf>
    <xf numFmtId="173" fontId="10" fillId="2" borderId="1" xfId="0" applyNumberFormat="1" applyFont="1" applyFill="1" applyBorder="1" applyAlignment="1" applyProtection="1">
      <alignment horizontal="center" vertical="top"/>
      <protection locked="0"/>
    </xf>
    <xf numFmtId="166" fontId="10" fillId="2" borderId="10" xfId="0" applyNumberFormat="1" applyFont="1" applyFill="1" applyBorder="1" applyAlignment="1" applyProtection="1">
      <alignment horizontal="center" vertical="top"/>
      <protection locked="0"/>
    </xf>
    <xf numFmtId="164" fontId="10" fillId="3" borderId="9" xfId="0" applyNumberFormat="1" applyFont="1" applyFill="1" applyBorder="1" applyAlignment="1" applyProtection="1">
      <alignment horizontal="center" vertical="top"/>
    </xf>
    <xf numFmtId="165" fontId="10" fillId="3" borderId="1" xfId="0" applyNumberFormat="1" applyFont="1" applyFill="1" applyBorder="1" applyAlignment="1" applyProtection="1">
      <alignment horizontal="center" vertical="top"/>
      <protection locked="0"/>
    </xf>
    <xf numFmtId="166" fontId="10" fillId="3" borderId="10" xfId="0" applyNumberFormat="1" applyFont="1" applyFill="1" applyBorder="1" applyAlignment="1" applyProtection="1">
      <alignment horizontal="center" vertical="top"/>
      <protection locked="0"/>
    </xf>
    <xf numFmtId="164" fontId="10" fillId="5" borderId="11" xfId="0" applyNumberFormat="1" applyFont="1" applyFill="1" applyBorder="1" applyAlignment="1" applyProtection="1">
      <alignment horizontal="center" vertical="top"/>
    </xf>
    <xf numFmtId="165" fontId="10" fillId="5" borderId="12" xfId="0" applyNumberFormat="1" applyFont="1" applyFill="1" applyBorder="1" applyAlignment="1" applyProtection="1">
      <alignment horizontal="center" vertical="top"/>
      <protection locked="0"/>
    </xf>
    <xf numFmtId="166" fontId="10" fillId="5" borderId="13" xfId="0" applyNumberFormat="1" applyFont="1" applyFill="1" applyBorder="1" applyAlignment="1" applyProtection="1">
      <alignment horizontal="center" vertical="top"/>
      <protection locked="0"/>
    </xf>
    <xf numFmtId="164" fontId="10" fillId="0" borderId="0" xfId="0" applyNumberFormat="1" applyFont="1" applyBorder="1" applyAlignment="1" applyProtection="1">
      <alignment vertical="top"/>
    </xf>
    <xf numFmtId="0" fontId="10" fillId="15" borderId="0" xfId="0" applyFont="1" applyFill="1" applyBorder="1" applyAlignment="1" applyProtection="1">
      <alignment vertical="top"/>
    </xf>
    <xf numFmtId="0" fontId="12" fillId="15" borderId="17" xfId="0" applyFont="1" applyFill="1" applyBorder="1" applyAlignment="1" applyProtection="1">
      <alignment vertical="top"/>
    </xf>
    <xf numFmtId="164" fontId="13" fillId="15" borderId="0" xfId="0" applyNumberFormat="1" applyFont="1" applyFill="1" applyBorder="1" applyAlignment="1" applyProtection="1">
      <alignment horizontal="center" vertical="center"/>
    </xf>
    <xf numFmtId="164" fontId="12" fillId="15" borderId="0" xfId="0" applyNumberFormat="1" applyFont="1" applyFill="1" applyBorder="1" applyAlignment="1" applyProtection="1">
      <alignment horizontal="center" vertical="center"/>
    </xf>
    <xf numFmtId="0" fontId="12" fillId="15" borderId="18" xfId="0" applyFont="1" applyFill="1" applyBorder="1" applyAlignment="1" applyProtection="1">
      <alignment vertical="top"/>
    </xf>
    <xf numFmtId="164" fontId="12" fillId="0" borderId="0" xfId="0" applyNumberFormat="1" applyFont="1" applyBorder="1" applyAlignment="1" applyProtection="1">
      <alignment vertical="top"/>
    </xf>
    <xf numFmtId="164" fontId="12" fillId="0" borderId="0" xfId="0" applyNumberFormat="1" applyFont="1" applyAlignment="1" applyProtection="1">
      <alignment vertical="top"/>
    </xf>
    <xf numFmtId="0" fontId="12" fillId="0" borderId="0" xfId="0" applyFont="1" applyAlignment="1" applyProtection="1">
      <alignment vertical="top"/>
    </xf>
    <xf numFmtId="2" fontId="12" fillId="0" borderId="0" xfId="0" applyNumberFormat="1" applyFont="1" applyAlignment="1" applyProtection="1">
      <alignment vertical="top"/>
    </xf>
    <xf numFmtId="0" fontId="10" fillId="15" borderId="18" xfId="0" applyFont="1" applyFill="1" applyBorder="1" applyAlignment="1" applyProtection="1">
      <alignment vertical="top"/>
    </xf>
    <xf numFmtId="164" fontId="10" fillId="0" borderId="0" xfId="0" applyNumberFormat="1" applyFont="1" applyAlignment="1" applyProtection="1">
      <alignment horizontal="center" vertical="top"/>
    </xf>
    <xf numFmtId="0" fontId="10" fillId="15" borderId="1" xfId="0" applyFont="1" applyFill="1" applyBorder="1" applyAlignment="1" applyProtection="1">
      <alignment horizontal="center" vertical="top"/>
    </xf>
    <xf numFmtId="164" fontId="10" fillId="9" borderId="1" xfId="0" applyNumberFormat="1" applyFont="1" applyFill="1" applyBorder="1" applyAlignment="1" applyProtection="1">
      <alignment horizontal="center" vertical="top"/>
    </xf>
    <xf numFmtId="164" fontId="10" fillId="7" borderId="1" xfId="0" applyNumberFormat="1" applyFont="1" applyFill="1" applyBorder="1" applyAlignment="1" applyProtection="1">
      <alignment horizontal="center" vertical="top"/>
    </xf>
    <xf numFmtId="164" fontId="10" fillId="6" borderId="1" xfId="0" applyNumberFormat="1" applyFont="1" applyFill="1" applyBorder="1" applyAlignment="1" applyProtection="1">
      <alignment horizontal="center" vertical="top"/>
    </xf>
    <xf numFmtId="164" fontId="10" fillId="14" borderId="1" xfId="0" applyNumberFormat="1" applyFont="1" applyFill="1" applyBorder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/>
    </xf>
    <xf numFmtId="164" fontId="10" fillId="2" borderId="1" xfId="0" applyNumberFormat="1" applyFont="1" applyFill="1" applyBorder="1" applyAlignment="1" applyProtection="1">
      <alignment horizontal="center" vertical="top"/>
    </xf>
    <xf numFmtId="171" fontId="10" fillId="2" borderId="1" xfId="0" applyNumberFormat="1" applyFont="1" applyFill="1" applyBorder="1" applyAlignment="1" applyProtection="1">
      <alignment horizontal="center" vertical="top"/>
    </xf>
    <xf numFmtId="166" fontId="10" fillId="2" borderId="1" xfId="0" applyNumberFormat="1" applyFont="1" applyFill="1" applyBorder="1" applyAlignment="1" applyProtection="1">
      <alignment horizontal="center" vertical="top"/>
    </xf>
    <xf numFmtId="170" fontId="10" fillId="2" borderId="1" xfId="0" applyNumberFormat="1" applyFont="1" applyFill="1" applyBorder="1" applyAlignment="1" applyProtection="1">
      <alignment horizontal="center" vertical="top"/>
    </xf>
    <xf numFmtId="164" fontId="10" fillId="15" borderId="1" xfId="0" applyNumberFormat="1" applyFont="1" applyFill="1" applyBorder="1" applyAlignment="1" applyProtection="1">
      <alignment vertical="top"/>
    </xf>
    <xf numFmtId="171" fontId="10" fillId="15" borderId="1" xfId="0" applyNumberFormat="1" applyFont="1" applyFill="1" applyBorder="1" applyAlignment="1" applyProtection="1">
      <alignment horizontal="center" vertical="top"/>
    </xf>
    <xf numFmtId="166" fontId="10" fillId="15" borderId="1" xfId="0" applyNumberFormat="1" applyFont="1" applyFill="1" applyBorder="1" applyAlignment="1" applyProtection="1">
      <alignment horizontal="center" vertical="top"/>
    </xf>
    <xf numFmtId="164" fontId="10" fillId="3" borderId="1" xfId="0" applyNumberFormat="1" applyFont="1" applyFill="1" applyBorder="1" applyAlignment="1" applyProtection="1">
      <alignment horizontal="center" vertical="top"/>
    </xf>
    <xf numFmtId="171" fontId="10" fillId="3" borderId="1" xfId="0" applyNumberFormat="1" applyFont="1" applyFill="1" applyBorder="1" applyAlignment="1" applyProtection="1">
      <alignment horizontal="center" vertical="top"/>
    </xf>
    <xf numFmtId="166" fontId="10" fillId="3" borderId="1" xfId="0" applyNumberFormat="1" applyFont="1" applyFill="1" applyBorder="1" applyAlignment="1" applyProtection="1">
      <alignment horizontal="center" vertical="top"/>
    </xf>
    <xf numFmtId="170" fontId="10" fillId="3" borderId="1" xfId="0" applyNumberFormat="1" applyFont="1" applyFill="1" applyBorder="1" applyAlignment="1" applyProtection="1">
      <alignment horizontal="center" vertical="top"/>
    </xf>
    <xf numFmtId="164" fontId="10" fillId="5" borderId="1" xfId="0" applyNumberFormat="1" applyFont="1" applyFill="1" applyBorder="1" applyAlignment="1" applyProtection="1">
      <alignment horizontal="center" vertical="top"/>
    </xf>
    <xf numFmtId="171" fontId="10" fillId="5" borderId="1" xfId="0" applyNumberFormat="1" applyFont="1" applyFill="1" applyBorder="1" applyAlignment="1" applyProtection="1">
      <alignment horizontal="center" vertical="top"/>
    </xf>
    <xf numFmtId="166" fontId="10" fillId="5" borderId="1" xfId="0" applyNumberFormat="1" applyFont="1" applyFill="1" applyBorder="1" applyAlignment="1" applyProtection="1">
      <alignment horizontal="center" vertical="top"/>
    </xf>
    <xf numFmtId="170" fontId="10" fillId="5" borderId="1" xfId="0" applyNumberFormat="1" applyFont="1" applyFill="1" applyBorder="1" applyAlignment="1" applyProtection="1">
      <alignment horizontal="center" vertical="top"/>
    </xf>
    <xf numFmtId="174" fontId="10" fillId="15" borderId="1" xfId="0" applyNumberFormat="1" applyFont="1" applyFill="1" applyBorder="1" applyAlignment="1" applyProtection="1">
      <alignment horizontal="right" vertical="top"/>
    </xf>
    <xf numFmtId="0" fontId="10" fillId="15" borderId="19" xfId="0" applyFont="1" applyFill="1" applyBorder="1" applyAlignment="1" applyProtection="1">
      <alignment vertical="top"/>
    </xf>
    <xf numFmtId="0" fontId="10" fillId="15" borderId="20" xfId="0" applyFont="1" applyFill="1" applyBorder="1" applyAlignment="1" applyProtection="1">
      <alignment vertical="top"/>
    </xf>
    <xf numFmtId="164" fontId="10" fillId="15" borderId="20" xfId="0" applyNumberFormat="1" applyFont="1" applyFill="1" applyBorder="1" applyAlignment="1" applyProtection="1">
      <alignment vertical="top"/>
    </xf>
    <xf numFmtId="164" fontId="10" fillId="15" borderId="20" xfId="0" applyNumberFormat="1" applyFont="1" applyFill="1" applyBorder="1" applyProtection="1"/>
    <xf numFmtId="164" fontId="10" fillId="15" borderId="21" xfId="0" applyNumberFormat="1" applyFont="1" applyFill="1" applyBorder="1" applyProtection="1"/>
    <xf numFmtId="164" fontId="10" fillId="0" borderId="0" xfId="0" applyNumberFormat="1" applyFont="1" applyProtection="1"/>
    <xf numFmtId="164" fontId="2" fillId="15" borderId="20" xfId="1" applyNumberFormat="1" applyFill="1" applyBorder="1" applyAlignment="1" applyProtection="1">
      <alignment vertical="top"/>
    </xf>
    <xf numFmtId="164" fontId="2" fillId="15" borderId="20" xfId="1" applyNumberFormat="1" applyFill="1" applyBorder="1" applyAlignment="1" applyProtection="1">
      <alignment wrapText="1"/>
    </xf>
    <xf numFmtId="0" fontId="1" fillId="0" borderId="0" xfId="0" applyFont="1" applyAlignment="1">
      <alignment horizontal="center"/>
    </xf>
    <xf numFmtId="176" fontId="8" fillId="15" borderId="0" xfId="0" applyNumberFormat="1" applyFont="1" applyFill="1" applyBorder="1" applyAlignment="1" applyProtection="1">
      <alignment horizontal="right"/>
    </xf>
    <xf numFmtId="164" fontId="12" fillId="10" borderId="6" xfId="0" applyNumberFormat="1" applyFont="1" applyFill="1" applyBorder="1" applyAlignment="1" applyProtection="1">
      <alignment horizontal="center" vertical="top"/>
    </xf>
    <xf numFmtId="164" fontId="12" fillId="10" borderId="7" xfId="0" applyNumberFormat="1" applyFont="1" applyFill="1" applyBorder="1" applyAlignment="1" applyProtection="1">
      <alignment horizontal="center" vertical="top"/>
    </xf>
    <xf numFmtId="164" fontId="12" fillId="10" borderId="8" xfId="0" applyNumberFormat="1" applyFont="1" applyFill="1" applyBorder="1" applyAlignment="1" applyProtection="1">
      <alignment horizontal="center" vertical="top"/>
    </xf>
    <xf numFmtId="164" fontId="10" fillId="9" borderId="1" xfId="0" applyNumberFormat="1" applyFont="1" applyFill="1" applyBorder="1" applyAlignment="1" applyProtection="1">
      <alignment horizontal="center" vertical="top"/>
    </xf>
    <xf numFmtId="164" fontId="10" fillId="7" borderId="1" xfId="0" applyNumberFormat="1" applyFont="1" applyFill="1" applyBorder="1" applyAlignment="1" applyProtection="1">
      <alignment horizontal="center" vertical="top"/>
    </xf>
    <xf numFmtId="164" fontId="10" fillId="6" borderId="1" xfId="0" applyNumberFormat="1" applyFont="1" applyFill="1" applyBorder="1" applyAlignment="1" applyProtection="1">
      <alignment horizontal="center" vertical="top"/>
    </xf>
    <xf numFmtId="164" fontId="12" fillId="15" borderId="0" xfId="0" applyNumberFormat="1" applyFont="1" applyFill="1" applyBorder="1" applyAlignment="1" applyProtection="1">
      <alignment horizontal="center" vertical="top"/>
    </xf>
    <xf numFmtId="164" fontId="10" fillId="15" borderId="0" xfId="0" applyNumberFormat="1" applyFont="1" applyFill="1" applyBorder="1" applyAlignment="1" applyProtection="1">
      <alignment horizontal="center" vertical="top"/>
      <protection locked="0"/>
    </xf>
    <xf numFmtId="164" fontId="11" fillId="15" borderId="0" xfId="0" applyNumberFormat="1" applyFont="1" applyFill="1" applyBorder="1" applyAlignment="1" applyProtection="1">
      <alignment horizontal="center" vertical="top"/>
    </xf>
    <xf numFmtId="164" fontId="10" fillId="8" borderId="1" xfId="0" applyNumberFormat="1" applyFont="1" applyFill="1" applyBorder="1" applyAlignment="1" applyProtection="1">
      <alignment horizontal="center" vertical="top"/>
    </xf>
    <xf numFmtId="0" fontId="12" fillId="15" borderId="0" xfId="0" applyFont="1" applyFill="1" applyBorder="1" applyAlignment="1" applyProtection="1">
      <alignment horizontal="center" vertical="top"/>
    </xf>
    <xf numFmtId="165" fontId="10" fillId="9" borderId="1" xfId="0" applyNumberFormat="1" applyFont="1" applyFill="1" applyBorder="1" applyAlignment="1" applyProtection="1">
      <alignment horizontal="center" vertical="top"/>
    </xf>
    <xf numFmtId="165" fontId="10" fillId="7" borderId="1" xfId="0" applyNumberFormat="1" applyFont="1" applyFill="1" applyBorder="1" applyAlignment="1" applyProtection="1">
      <alignment horizontal="center" vertical="top"/>
    </xf>
    <xf numFmtId="165" fontId="10" fillId="6" borderId="1" xfId="0" applyNumberFormat="1" applyFont="1" applyFill="1" applyBorder="1" applyAlignment="1" applyProtection="1">
      <alignment horizontal="center" vertical="top"/>
    </xf>
    <xf numFmtId="0" fontId="10" fillId="15" borderId="1" xfId="0" applyFont="1" applyFill="1" applyBorder="1" applyAlignment="1" applyProtection="1">
      <alignment horizontal="right" vertical="top"/>
    </xf>
    <xf numFmtId="164" fontId="12" fillId="15" borderId="0" xfId="0" applyNumberFormat="1" applyFont="1" applyFill="1" applyBorder="1" applyAlignment="1" applyProtection="1">
      <alignment horizontal="center" vertical="center"/>
    </xf>
    <xf numFmtId="164" fontId="10" fillId="14" borderId="1" xfId="0" applyNumberFormat="1" applyFont="1" applyFill="1" applyBorder="1" applyAlignment="1" applyProtection="1">
      <alignment horizontal="center" vertical="top"/>
    </xf>
    <xf numFmtId="164" fontId="3" fillId="8" borderId="1" xfId="0" applyNumberFormat="1" applyFont="1" applyFill="1" applyBorder="1" applyAlignment="1" applyProtection="1">
      <alignment horizontal="center" vertical="top"/>
    </xf>
    <xf numFmtId="164" fontId="3" fillId="9" borderId="1" xfId="0" applyNumberFormat="1" applyFont="1" applyFill="1" applyBorder="1" applyAlignment="1" applyProtection="1">
      <alignment horizontal="center" vertical="top"/>
    </xf>
    <xf numFmtId="0" fontId="5" fillId="15" borderId="0" xfId="0" applyFont="1" applyFill="1" applyBorder="1" applyAlignment="1" applyProtection="1">
      <alignment horizontal="center" vertical="top"/>
    </xf>
    <xf numFmtId="164" fontId="5" fillId="15" borderId="0" xfId="0" applyNumberFormat="1" applyFont="1" applyFill="1" applyBorder="1" applyAlignment="1" applyProtection="1">
      <alignment horizontal="center" vertical="top"/>
    </xf>
    <xf numFmtId="164" fontId="3" fillId="7" borderId="1" xfId="0" applyNumberFormat="1" applyFont="1" applyFill="1" applyBorder="1" applyAlignment="1" applyProtection="1">
      <alignment horizontal="center" vertical="top"/>
    </xf>
    <xf numFmtId="164" fontId="5" fillId="15" borderId="0" xfId="0" applyNumberFormat="1" applyFont="1" applyFill="1" applyBorder="1" applyAlignment="1" applyProtection="1">
      <alignment horizontal="center" vertical="center"/>
    </xf>
    <xf numFmtId="164" fontId="5" fillId="10" borderId="6" xfId="0" applyNumberFormat="1" applyFont="1" applyFill="1" applyBorder="1" applyAlignment="1" applyProtection="1">
      <alignment horizontal="center" vertical="top"/>
    </xf>
    <xf numFmtId="164" fontId="5" fillId="10" borderId="7" xfId="0" applyNumberFormat="1" applyFont="1" applyFill="1" applyBorder="1" applyAlignment="1" applyProtection="1">
      <alignment horizontal="center" vertical="top"/>
    </xf>
    <xf numFmtId="164" fontId="5" fillId="10" borderId="8" xfId="0" applyNumberFormat="1" applyFont="1" applyFill="1" applyBorder="1" applyAlignment="1" applyProtection="1">
      <alignment horizontal="center" vertical="top"/>
    </xf>
    <xf numFmtId="164" fontId="3" fillId="15" borderId="0" xfId="0" applyNumberFormat="1" applyFont="1" applyFill="1" applyBorder="1" applyAlignment="1" applyProtection="1">
      <alignment horizontal="center" vertical="top"/>
      <protection locked="0"/>
    </xf>
    <xf numFmtId="164" fontId="6" fillId="15" borderId="0" xfId="0" applyNumberFormat="1" applyFont="1" applyFill="1" applyBorder="1" applyAlignment="1" applyProtection="1">
      <alignment horizontal="center" vertical="top"/>
    </xf>
    <xf numFmtId="175" fontId="8" fillId="15" borderId="0" xfId="0" applyNumberFormat="1" applyFont="1" applyFill="1" applyBorder="1" applyAlignment="1" applyProtection="1">
      <alignment horizontal="center"/>
    </xf>
    <xf numFmtId="164" fontId="3" fillId="6" borderId="1" xfId="0" applyNumberFormat="1" applyFont="1" applyFill="1" applyBorder="1" applyAlignment="1" applyProtection="1">
      <alignment horizontal="center" vertical="top"/>
    </xf>
    <xf numFmtId="164" fontId="3" fillId="14" borderId="1" xfId="0" applyNumberFormat="1" applyFont="1" applyFill="1" applyBorder="1" applyAlignment="1" applyProtection="1">
      <alignment horizontal="center" vertical="top"/>
    </xf>
    <xf numFmtId="165" fontId="3" fillId="9" borderId="1" xfId="0" applyNumberFormat="1" applyFont="1" applyFill="1" applyBorder="1" applyAlignment="1" applyProtection="1">
      <alignment horizontal="center" vertical="top"/>
    </xf>
    <xf numFmtId="165" fontId="3" fillId="7" borderId="1" xfId="0" applyNumberFormat="1" applyFont="1" applyFill="1" applyBorder="1" applyAlignment="1" applyProtection="1">
      <alignment horizontal="center" vertical="top"/>
    </xf>
    <xf numFmtId="165" fontId="3" fillId="6" borderId="1" xfId="0" applyNumberFormat="1" applyFont="1" applyFill="1" applyBorder="1" applyAlignment="1" applyProtection="1">
      <alignment horizontal="center" vertical="top"/>
    </xf>
    <xf numFmtId="0" fontId="3" fillId="15" borderId="1" xfId="0" applyFont="1" applyFill="1" applyBorder="1" applyAlignment="1" applyProtection="1">
      <alignment horizontal="right" vertical="top"/>
    </xf>
    <xf numFmtId="0" fontId="3" fillId="0" borderId="5" xfId="0" applyFont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3" fillId="4" borderId="3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4" xfId="0" applyFont="1" applyFill="1" applyBorder="1" applyAlignment="1" applyProtection="1">
      <alignment horizontal="center" vertical="top"/>
      <protection hidden="1"/>
    </xf>
  </cellXfs>
  <cellStyles count="2">
    <cellStyle name="Hyperlink" xfId="1" builtinId="8"/>
    <cellStyle name="Normal" xfId="0" builtinId="0"/>
  </cellStyles>
  <dxfs count="38">
    <dxf>
      <font>
        <strike val="0"/>
        <color rgb="FFFFFF00"/>
      </font>
      <fill>
        <patternFill>
          <bgColor rgb="FFFF0000"/>
        </patternFill>
      </fill>
    </dxf>
    <dxf>
      <font>
        <strike val="0"/>
        <color rgb="FFFFFF00"/>
      </font>
      <fill>
        <patternFill>
          <bgColor rgb="FFFF0000"/>
        </patternFill>
      </fill>
    </dxf>
    <dxf>
      <numFmt numFmtId="177" formatCode="0.0\ \A"/>
    </dxf>
    <dxf>
      <numFmt numFmtId="165" formatCode="0.0\ &quot;A&quot;"/>
    </dxf>
    <dxf>
      <numFmt numFmtId="173" formatCode="0.0\ &quot;V&quot;"/>
    </dxf>
    <dxf>
      <numFmt numFmtId="165" formatCode="0.0\ &quot;A&quot;"/>
    </dxf>
    <dxf>
      <numFmt numFmtId="173" formatCode="0.0\ &quot;V&quot;"/>
    </dxf>
    <dxf>
      <numFmt numFmtId="165" formatCode="0.0\ &quot;A&quot;"/>
    </dxf>
    <dxf>
      <numFmt numFmtId="173" formatCode="0.0\ &quot;V&quot;"/>
    </dxf>
    <dxf>
      <numFmt numFmtId="165" formatCode="0.0\ &quot;A&quot;"/>
    </dxf>
    <dxf>
      <numFmt numFmtId="173" formatCode="0.0\ &quot;V&quot;"/>
    </dxf>
    <dxf>
      <font>
        <color rgb="FFFFFF00"/>
      </font>
    </dxf>
    <dxf>
      <font>
        <color rgb="FFFFFF00"/>
      </font>
    </dxf>
    <dxf>
      <font>
        <color theme="9" tint="-0.24994659260841701"/>
      </font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177" formatCode="0.0\ \A"/>
    </dxf>
    <dxf>
      <numFmt numFmtId="165" formatCode="0.0\ &quot;A&quot;"/>
    </dxf>
    <dxf>
      <numFmt numFmtId="173" formatCode="0.0\ &quot;V&quot;"/>
    </dxf>
    <dxf>
      <numFmt numFmtId="165" formatCode="0.0\ &quot;A&quot;"/>
    </dxf>
    <dxf>
      <numFmt numFmtId="173" formatCode="0.0\ &quot;V&quot;"/>
    </dxf>
    <dxf>
      <numFmt numFmtId="165" formatCode="0.0\ &quot;A&quot;"/>
    </dxf>
    <dxf>
      <numFmt numFmtId="173" formatCode="0.0\ &quot;V&quot;"/>
    </dxf>
    <dxf>
      <numFmt numFmtId="165" formatCode="0.0\ &quot;A&quot;"/>
    </dxf>
    <dxf>
      <numFmt numFmtId="173" formatCode="0.0\ &quot;V&quot;"/>
    </dxf>
    <dxf>
      <font>
        <color rgb="FFFFFF00"/>
      </font>
    </dxf>
    <dxf>
      <font>
        <color rgb="FFFFFF00"/>
      </font>
    </dxf>
    <dxf>
      <font>
        <color theme="9" tint="-0.24994659260841701"/>
      </font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8B814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3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2F-449C-AA2F-3292C7AB030E}"/>
            </c:ext>
          </c:extLst>
        </c:ser>
        <c:ser>
          <c:idx val="1"/>
          <c:order val="4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Polar!$C$2:$C$25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2F-449C-AA2F-3292C7AB030E}"/>
            </c:ext>
          </c:extLst>
        </c:ser>
        <c:ser>
          <c:idx val="2"/>
          <c:order val="5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Polar!$D$2:$D$25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2F-449C-AA2F-3292C7AB030E}"/>
            </c:ext>
          </c:extLst>
        </c:ser>
        <c:ser>
          <c:idx val="3"/>
          <c:order val="6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Polar!$E$2:$E$25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2F-449C-AA2F-3292C7AB030E}"/>
            </c:ext>
          </c:extLst>
        </c:ser>
        <c:ser>
          <c:idx val="4"/>
          <c:order val="7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Polar!$F$2:$F$25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2F-449C-AA2F-3292C7AB030E}"/>
            </c:ext>
          </c:extLst>
        </c:ser>
        <c:ser>
          <c:idx val="5"/>
          <c:order val="8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Polar!$G$2:$G$25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2F-449C-AA2F-3292C7AB030E}"/>
            </c:ext>
          </c:extLst>
        </c:ser>
        <c:ser>
          <c:idx val="6"/>
          <c:order val="9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Polar!$H$2:$H$25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2F-449C-AA2F-3292C7AB030E}"/>
            </c:ext>
          </c:extLst>
        </c:ser>
        <c:ser>
          <c:idx val="7"/>
          <c:order val="10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Polar!$I$2:$I$25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92F-449C-AA2F-3292C7AB030E}"/>
            </c:ext>
          </c:extLst>
        </c:ser>
        <c:ser>
          <c:idx val="8"/>
          <c:order val="11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Polar!$J$2:$J$25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2F-449C-AA2F-3292C7AB0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catterChart>
        <c:scatterStyle val="smoothMarker"/>
        <c:varyColors val="0"/>
        <c:ser>
          <c:idx val="12"/>
          <c:order val="0"/>
          <c:tx>
            <c:v>A</c:v>
          </c:tx>
          <c:spPr>
            <a:ln>
              <a:solidFill>
                <a:srgbClr val="FF0000"/>
              </a:solidFill>
              <a:tailEnd type="stealth"/>
            </a:ln>
          </c:spPr>
          <c:marker>
            <c:symbol val="none"/>
          </c:marker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62-49F4-A1B2-2F9A6C4F4A7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Plot!$C$24:$D$24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0.92310000000000003</c:v>
                </c:pt>
              </c:numCache>
            </c:numRef>
          </c:xVal>
          <c:yVal>
            <c:numRef>
              <c:f>Plot!$C$25:$D$25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-0.2999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92F-449C-AA2F-3292C7AB030E}"/>
            </c:ext>
          </c:extLst>
        </c:ser>
        <c:ser>
          <c:idx val="13"/>
          <c:order val="1"/>
          <c:tx>
            <c:v>B</c:v>
          </c:tx>
          <c:spPr>
            <a:ln>
              <a:solidFill>
                <a:srgbClr val="FFFF00"/>
              </a:solidFill>
              <a:tailEnd type="stealth"/>
            </a:ln>
          </c:spPr>
          <c:marker>
            <c:symbol val="none"/>
          </c:marker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62-49F4-A1B2-2F9A6C4F4A7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Plot!$E$24:$F$24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-0.26469999999999999</c:v>
                </c:pt>
              </c:numCache>
            </c:numRef>
          </c:xVal>
          <c:yVal>
            <c:numRef>
              <c:f>Plot!$E$25:$F$25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-0.45850000000000002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92F-449C-AA2F-3292C7AB030E}"/>
            </c:ext>
          </c:extLst>
        </c:ser>
        <c:ser>
          <c:idx val="9"/>
          <c:order val="2"/>
          <c:tx>
            <c:v>C</c:v>
          </c:tx>
          <c:spPr>
            <a:ln>
              <a:solidFill>
                <a:srgbClr val="0070C0"/>
              </a:solidFill>
              <a:tailEnd type="stealth"/>
            </a:ln>
          </c:spPr>
          <c:marker>
            <c:symbol val="none"/>
          </c:marker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62-49F4-A1B2-2F9A6C4F4A7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Plot!$G$24:$H$24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-0.66879999999999995</c:v>
                </c:pt>
              </c:numCache>
            </c:numRef>
          </c:xVal>
          <c:yVal>
            <c:numRef>
              <c:f>Plot!$G$25:$H$25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0.37069999999999997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92F-449C-AA2F-3292C7AB0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32928"/>
        <c:axId val="170731392"/>
      </c:scatterChart>
      <c:valAx>
        <c:axId val="170731392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2928"/>
        <c:crosses val="autoZero"/>
        <c:crossBetween val="midCat"/>
      </c:valAx>
      <c:valAx>
        <c:axId val="170732928"/>
        <c:scaling>
          <c:orientation val="minMax"/>
          <c:max val="1"/>
          <c:min val="-1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1392"/>
        <c:crosses val="autoZero"/>
        <c:crossBetween val="midCat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3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1-4736-8167-DC5EE56B65BA}"/>
            </c:ext>
          </c:extLst>
        </c:ser>
        <c:ser>
          <c:idx val="1"/>
          <c:order val="4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Polar!$C$2:$C$25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F1-4736-8167-DC5EE56B65BA}"/>
            </c:ext>
          </c:extLst>
        </c:ser>
        <c:ser>
          <c:idx val="2"/>
          <c:order val="5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Polar!$D$2:$D$25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F1-4736-8167-DC5EE56B65BA}"/>
            </c:ext>
          </c:extLst>
        </c:ser>
        <c:ser>
          <c:idx val="3"/>
          <c:order val="6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Polar!$E$2:$E$25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F1-4736-8167-DC5EE56B65BA}"/>
            </c:ext>
          </c:extLst>
        </c:ser>
        <c:ser>
          <c:idx val="4"/>
          <c:order val="7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Polar!$F$2:$F$25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F1-4736-8167-DC5EE56B65BA}"/>
            </c:ext>
          </c:extLst>
        </c:ser>
        <c:ser>
          <c:idx val="5"/>
          <c:order val="8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Polar!$G$2:$G$25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F1-4736-8167-DC5EE56B65BA}"/>
            </c:ext>
          </c:extLst>
        </c:ser>
        <c:ser>
          <c:idx val="6"/>
          <c:order val="9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Polar!$H$2:$H$25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F1-4736-8167-DC5EE56B65BA}"/>
            </c:ext>
          </c:extLst>
        </c:ser>
        <c:ser>
          <c:idx val="7"/>
          <c:order val="10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Polar!$I$2:$I$25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F1-4736-8167-DC5EE56B65BA}"/>
            </c:ext>
          </c:extLst>
        </c:ser>
        <c:ser>
          <c:idx val="8"/>
          <c:order val="11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Polar!$J$2:$J$25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F1-4736-8167-DC5EE56B6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catterChart>
        <c:scatterStyle val="smoothMarker"/>
        <c:varyColors val="0"/>
        <c:ser>
          <c:idx val="12"/>
          <c:order val="0"/>
          <c:spPr>
            <a:ln>
              <a:solidFill>
                <a:srgbClr val="FF0000"/>
              </a:solidFill>
              <a:tailEnd type="stealth"/>
            </a:ln>
          </c:spPr>
          <c:marker>
            <c:symbol val="none"/>
          </c:marker>
          <c:xVal>
            <c:numRef>
              <c:f>Plot!$C$24:$D$24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0.92310000000000003</c:v>
                </c:pt>
              </c:numCache>
            </c:numRef>
          </c:xVal>
          <c:yVal>
            <c:numRef>
              <c:f>Plot!$C$25:$D$25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-0.2999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0F1-4736-8167-DC5EE56B65BA}"/>
            </c:ext>
          </c:extLst>
        </c:ser>
        <c:ser>
          <c:idx val="13"/>
          <c:order val="1"/>
          <c:spPr>
            <a:ln>
              <a:solidFill>
                <a:srgbClr val="FFFF00"/>
              </a:solidFill>
              <a:tailEnd type="stealth"/>
            </a:ln>
          </c:spPr>
          <c:marker>
            <c:symbol val="none"/>
          </c:marker>
          <c:xVal>
            <c:numRef>
              <c:f>Plot!$E$24:$F$24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-0.26469999999999999</c:v>
                </c:pt>
              </c:numCache>
            </c:numRef>
          </c:xVal>
          <c:yVal>
            <c:numRef>
              <c:f>Plot!$E$25:$F$25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-0.45850000000000002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0F1-4736-8167-DC5EE56B65BA}"/>
            </c:ext>
          </c:extLst>
        </c:ser>
        <c:ser>
          <c:idx val="9"/>
          <c:order val="2"/>
          <c:spPr>
            <a:ln>
              <a:solidFill>
                <a:srgbClr val="0070C0"/>
              </a:solidFill>
              <a:tailEnd type="stealth"/>
            </a:ln>
          </c:spPr>
          <c:marker>
            <c:symbol val="none"/>
          </c:marker>
          <c:xVal>
            <c:numRef>
              <c:f>Plot!$G$24:$H$24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-0.66879999999999995</c:v>
                </c:pt>
              </c:numCache>
            </c:numRef>
          </c:xVal>
          <c:yVal>
            <c:numRef>
              <c:f>Plot!$G$25:$H$25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0.37069999999999997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0F1-4736-8167-DC5EE56B6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32928"/>
        <c:axId val="170731392"/>
      </c:scatterChart>
      <c:valAx>
        <c:axId val="170731392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2928"/>
        <c:crosses val="autoZero"/>
        <c:crossBetween val="midCat"/>
      </c:valAx>
      <c:valAx>
        <c:axId val="170732928"/>
        <c:scaling>
          <c:orientation val="minMax"/>
          <c:max val="1"/>
          <c:min val="-1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1392"/>
        <c:crosses val="autoZero"/>
        <c:crossBetween val="midCat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3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0-4F5D-AE2A-A1FC99C229C1}"/>
            </c:ext>
          </c:extLst>
        </c:ser>
        <c:ser>
          <c:idx val="1"/>
          <c:order val="4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Polar!$C$2:$C$25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C0-4F5D-AE2A-A1FC99C229C1}"/>
            </c:ext>
          </c:extLst>
        </c:ser>
        <c:ser>
          <c:idx val="2"/>
          <c:order val="5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Polar!$D$2:$D$25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C0-4F5D-AE2A-A1FC99C229C1}"/>
            </c:ext>
          </c:extLst>
        </c:ser>
        <c:ser>
          <c:idx val="3"/>
          <c:order val="6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Polar!$E$2:$E$25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C0-4F5D-AE2A-A1FC99C229C1}"/>
            </c:ext>
          </c:extLst>
        </c:ser>
        <c:ser>
          <c:idx val="4"/>
          <c:order val="7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Polar!$F$2:$F$25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C0-4F5D-AE2A-A1FC99C229C1}"/>
            </c:ext>
          </c:extLst>
        </c:ser>
        <c:ser>
          <c:idx val="5"/>
          <c:order val="8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Polar!$G$2:$G$25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C0-4F5D-AE2A-A1FC99C229C1}"/>
            </c:ext>
          </c:extLst>
        </c:ser>
        <c:ser>
          <c:idx val="6"/>
          <c:order val="9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Polar!$H$2:$H$25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C0-4F5D-AE2A-A1FC99C229C1}"/>
            </c:ext>
          </c:extLst>
        </c:ser>
        <c:ser>
          <c:idx val="7"/>
          <c:order val="10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Polar!$I$2:$I$25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C0-4F5D-AE2A-A1FC99C229C1}"/>
            </c:ext>
          </c:extLst>
        </c:ser>
        <c:ser>
          <c:idx val="8"/>
          <c:order val="11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Polar!$J$2:$J$25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C0-4F5D-AE2A-A1FC99C22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catterChart>
        <c:scatterStyle val="smoothMarker"/>
        <c:varyColors val="0"/>
        <c:ser>
          <c:idx val="12"/>
          <c:order val="0"/>
          <c:spPr>
            <a:ln>
              <a:solidFill>
                <a:srgbClr val="FF0000"/>
              </a:solidFill>
              <a:tailEnd type="stealth"/>
            </a:ln>
          </c:spPr>
          <c:marker>
            <c:symbol val="none"/>
          </c:marker>
          <c:xVal>
            <c:numRef>
              <c:f>Plot!$C$28:$D$28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0.70269999999999999</c:v>
                </c:pt>
              </c:numCache>
            </c:numRef>
          </c:xVal>
          <c:yVal>
            <c:numRef>
              <c:f>Plot!$C$29:$D$29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3.1300000000000001E-2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25C0-4F5D-AE2A-A1FC99C229C1}"/>
            </c:ext>
          </c:extLst>
        </c:ser>
        <c:ser>
          <c:idx val="13"/>
          <c:order val="1"/>
          <c:spPr>
            <a:ln>
              <a:solidFill>
                <a:srgbClr val="FFFF00"/>
              </a:solidFill>
              <a:tailEnd type="stealth"/>
            </a:ln>
          </c:spPr>
          <c:marker>
            <c:symbol val="none"/>
          </c:marker>
          <c:xVal>
            <c:numRef>
              <c:f>Plot!$E$28:$F$28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-0.32419999999999999</c:v>
                </c:pt>
              </c:numCache>
            </c:numRef>
          </c:xVal>
          <c:yVal>
            <c:numRef>
              <c:f>Plot!$E$29:$F$29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-0.62419999999999998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25C0-4F5D-AE2A-A1FC99C229C1}"/>
            </c:ext>
          </c:extLst>
        </c:ser>
        <c:ser>
          <c:idx val="9"/>
          <c:order val="2"/>
          <c:spPr>
            <a:ln>
              <a:solidFill>
                <a:srgbClr val="0070C0"/>
              </a:solidFill>
              <a:tailEnd type="stealth"/>
            </a:ln>
          </c:spPr>
          <c:marker>
            <c:symbol val="none"/>
          </c:marker>
          <c:xVal>
            <c:numRef>
              <c:f>Plot!$G$28:$H$28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-0.37840000000000001</c:v>
                </c:pt>
              </c:numCache>
            </c:numRef>
          </c:xVal>
          <c:yVal>
            <c:numRef>
              <c:f>Plot!$G$29:$H$29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0.59289999999999998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25C0-4F5D-AE2A-A1FC99C22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32928"/>
        <c:axId val="170731392"/>
      </c:scatterChart>
      <c:valAx>
        <c:axId val="170731392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2928"/>
        <c:crosses val="autoZero"/>
        <c:crossBetween val="midCat"/>
      </c:valAx>
      <c:valAx>
        <c:axId val="170732928"/>
        <c:scaling>
          <c:orientation val="minMax"/>
          <c:max val="1"/>
          <c:min val="-1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1392"/>
        <c:crosses val="autoZero"/>
        <c:crossBetween val="midCat"/>
      </c:valAx>
      <c:spPr>
        <a:solidFill>
          <a:schemeClr val="accent4">
            <a:lumMod val="60000"/>
            <a:lumOff val="40000"/>
          </a:schemeClr>
        </a:solidFill>
      </c:spPr>
    </c:plotArea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>
      <a:solidFill>
        <a:schemeClr val="accent4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3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C-4C83-B518-8918793D90AA}"/>
            </c:ext>
          </c:extLst>
        </c:ser>
        <c:ser>
          <c:idx val="1"/>
          <c:order val="4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Polar!$C$2:$C$25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AC-4C83-B518-8918793D90AA}"/>
            </c:ext>
          </c:extLst>
        </c:ser>
        <c:ser>
          <c:idx val="2"/>
          <c:order val="5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Polar!$D$2:$D$25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AC-4C83-B518-8918793D90AA}"/>
            </c:ext>
          </c:extLst>
        </c:ser>
        <c:ser>
          <c:idx val="3"/>
          <c:order val="6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Polar!$E$2:$E$25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AC-4C83-B518-8918793D90AA}"/>
            </c:ext>
          </c:extLst>
        </c:ser>
        <c:ser>
          <c:idx val="4"/>
          <c:order val="7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Polar!$F$2:$F$25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AC-4C83-B518-8918793D90AA}"/>
            </c:ext>
          </c:extLst>
        </c:ser>
        <c:ser>
          <c:idx val="5"/>
          <c:order val="8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Polar!$G$2:$G$25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AC-4C83-B518-8918793D90AA}"/>
            </c:ext>
          </c:extLst>
        </c:ser>
        <c:ser>
          <c:idx val="6"/>
          <c:order val="9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Polar!$H$2:$H$25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AC-4C83-B518-8918793D90AA}"/>
            </c:ext>
          </c:extLst>
        </c:ser>
        <c:ser>
          <c:idx val="7"/>
          <c:order val="10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Polar!$I$2:$I$25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8AC-4C83-B518-8918793D90AA}"/>
            </c:ext>
          </c:extLst>
        </c:ser>
        <c:ser>
          <c:idx val="8"/>
          <c:order val="11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Polar!$J$2:$J$25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AC-4C83-B518-8918793D9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catterChart>
        <c:scatterStyle val="smoothMarker"/>
        <c:varyColors val="0"/>
        <c:ser>
          <c:idx val="12"/>
          <c:order val="0"/>
          <c:spPr>
            <a:ln>
              <a:solidFill>
                <a:srgbClr val="FF0000"/>
              </a:solidFill>
              <a:tailEnd type="stealth"/>
            </a:ln>
          </c:spPr>
          <c:marker>
            <c:symbol val="none"/>
          </c:marker>
          <c:xVal>
            <c:numRef>
              <c:f>Plot!$C$32:$D$32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0.22389999999999999</c:v>
                </c:pt>
              </c:numCache>
            </c:numRef>
          </c:xVal>
          <c:yVal>
            <c:numRef>
              <c:f>Plot!$C$33:$D$33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-0.20200000000000001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8AC-4C83-B518-8918793D90AA}"/>
            </c:ext>
          </c:extLst>
        </c:ser>
        <c:ser>
          <c:idx val="13"/>
          <c:order val="1"/>
          <c:spPr>
            <a:ln>
              <a:solidFill>
                <a:srgbClr val="FFFF00"/>
              </a:solidFill>
              <a:tailEnd type="stealth"/>
            </a:ln>
          </c:spPr>
          <c:marker>
            <c:symbol val="none"/>
          </c:marker>
          <c:xVal>
            <c:numRef>
              <c:f>Plot!$E$32:$F$32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6.3E-2</c:v>
                </c:pt>
              </c:numCache>
            </c:numRef>
          </c:xVal>
          <c:yVal>
            <c:numRef>
              <c:f>Plot!$E$33:$F$33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0.2949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8AC-4C83-B518-8918793D90AA}"/>
            </c:ext>
          </c:extLst>
        </c:ser>
        <c:ser>
          <c:idx val="9"/>
          <c:order val="2"/>
          <c:spPr>
            <a:ln>
              <a:solidFill>
                <a:srgbClr val="0070C0"/>
              </a:solidFill>
              <a:tailEnd type="stealth"/>
            </a:ln>
          </c:spPr>
          <c:marker>
            <c:symbol val="none"/>
          </c:marker>
          <c:xVal>
            <c:numRef>
              <c:f>Plot!$G$32:$H$32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-0.28689999999999999</c:v>
                </c:pt>
              </c:numCache>
            </c:numRef>
          </c:xVal>
          <c:yVal>
            <c:numRef>
              <c:f>Plot!$G$33:$H$33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-9.2899999999999996E-2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8AC-4C83-B518-8918793D9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32928"/>
        <c:axId val="170731392"/>
      </c:scatterChart>
      <c:valAx>
        <c:axId val="170731392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2928"/>
        <c:crosses val="autoZero"/>
        <c:crossBetween val="midCat"/>
      </c:valAx>
      <c:valAx>
        <c:axId val="170732928"/>
        <c:scaling>
          <c:orientation val="minMax"/>
          <c:max val="1"/>
          <c:min val="-1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1392"/>
        <c:crosses val="autoZero"/>
        <c:crossBetween val="midCat"/>
      </c:valAx>
      <c:spPr>
        <a:solidFill>
          <a:schemeClr val="accent5">
            <a:lumMod val="60000"/>
            <a:lumOff val="40000"/>
          </a:schemeClr>
        </a:solidFill>
      </c:spPr>
    </c:plotArea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ln>
      <a:solidFill>
        <a:schemeClr val="tx2">
          <a:lumMod val="60000"/>
          <a:lumOff val="4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1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5-4C65-97F1-11590E39E887}"/>
            </c:ext>
          </c:extLst>
        </c:ser>
        <c:ser>
          <c:idx val="1"/>
          <c:order val="2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Polar!$C$2:$C$25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5-4C65-97F1-11590E39E887}"/>
            </c:ext>
          </c:extLst>
        </c:ser>
        <c:ser>
          <c:idx val="2"/>
          <c:order val="3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Polar!$D$2:$D$25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F5-4C65-97F1-11590E39E887}"/>
            </c:ext>
          </c:extLst>
        </c:ser>
        <c:ser>
          <c:idx val="3"/>
          <c:order val="4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Polar!$E$2:$E$25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F5-4C65-97F1-11590E39E887}"/>
            </c:ext>
          </c:extLst>
        </c:ser>
        <c:ser>
          <c:idx val="4"/>
          <c:order val="5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Polar!$F$2:$F$25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F5-4C65-97F1-11590E39E887}"/>
            </c:ext>
          </c:extLst>
        </c:ser>
        <c:ser>
          <c:idx val="5"/>
          <c:order val="6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Polar!$G$2:$G$25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F5-4C65-97F1-11590E39E887}"/>
            </c:ext>
          </c:extLst>
        </c:ser>
        <c:ser>
          <c:idx val="6"/>
          <c:order val="7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Polar!$H$2:$H$25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F5-4C65-97F1-11590E39E887}"/>
            </c:ext>
          </c:extLst>
        </c:ser>
        <c:ser>
          <c:idx val="7"/>
          <c:order val="8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Polar!$I$2:$I$25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F5-4C65-97F1-11590E39E887}"/>
            </c:ext>
          </c:extLst>
        </c:ser>
        <c:ser>
          <c:idx val="8"/>
          <c:order val="9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Polar!$J$2:$J$25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F5-4C65-97F1-11590E39E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catterChart>
        <c:scatterStyle val="smoothMarker"/>
        <c:varyColors val="0"/>
        <c:ser>
          <c:idx val="9"/>
          <c:order val="0"/>
          <c:spPr>
            <a:ln>
              <a:solidFill>
                <a:schemeClr val="tx1"/>
              </a:solidFill>
              <a:tailEnd type="stealth"/>
            </a:ln>
          </c:spPr>
          <c:marker>
            <c:symbol val="none"/>
          </c:marker>
          <c:xVal>
            <c:numRef>
              <c:f>Plot!$C$36:$D$36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-3.5000000000000001E-3</c:v>
                </c:pt>
              </c:numCache>
            </c:numRef>
          </c:xVal>
          <c:yVal>
            <c:numRef>
              <c:f>Plot!$C$37:$D$37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-0.12920000000000001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5F5-4C65-97F1-11590E39E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32928"/>
        <c:axId val="170731392"/>
      </c:scatterChart>
      <c:valAx>
        <c:axId val="170731392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2928"/>
        <c:crosses val="autoZero"/>
        <c:crossBetween val="midCat"/>
      </c:valAx>
      <c:valAx>
        <c:axId val="170732928"/>
        <c:scaling>
          <c:orientation val="minMax"/>
          <c:max val="1"/>
          <c:min val="-1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1392"/>
        <c:crosses val="autoZero"/>
        <c:crossBetween val="midCat"/>
      </c:valAx>
      <c:spPr>
        <a:solidFill>
          <a:schemeClr val="accent6">
            <a:lumMod val="60000"/>
            <a:lumOff val="40000"/>
          </a:schemeClr>
        </a:solidFill>
      </c:spPr>
    </c:plotArea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ln>
      <a:solidFill>
        <a:schemeClr val="accent6">
          <a:lumMod val="60000"/>
          <a:lumOff val="4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1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A-4DD8-93F9-180848328948}"/>
            </c:ext>
          </c:extLst>
        </c:ser>
        <c:ser>
          <c:idx val="1"/>
          <c:order val="2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Polar!$C$2:$C$25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1A-4DD8-93F9-180848328948}"/>
            </c:ext>
          </c:extLst>
        </c:ser>
        <c:ser>
          <c:idx val="2"/>
          <c:order val="3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Polar!$D$2:$D$25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1A-4DD8-93F9-180848328948}"/>
            </c:ext>
          </c:extLst>
        </c:ser>
        <c:ser>
          <c:idx val="3"/>
          <c:order val="4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Polar!$E$2:$E$25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1A-4DD8-93F9-180848328948}"/>
            </c:ext>
          </c:extLst>
        </c:ser>
        <c:ser>
          <c:idx val="4"/>
          <c:order val="5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Polar!$F$2:$F$25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1A-4DD8-93F9-180848328948}"/>
            </c:ext>
          </c:extLst>
        </c:ser>
        <c:ser>
          <c:idx val="5"/>
          <c:order val="6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Polar!$G$2:$G$25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1A-4DD8-93F9-180848328948}"/>
            </c:ext>
          </c:extLst>
        </c:ser>
        <c:ser>
          <c:idx val="6"/>
          <c:order val="7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Polar!$H$2:$H$25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1A-4DD8-93F9-180848328948}"/>
            </c:ext>
          </c:extLst>
        </c:ser>
        <c:ser>
          <c:idx val="7"/>
          <c:order val="8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Polar!$I$2:$I$25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1A-4DD8-93F9-180848328948}"/>
            </c:ext>
          </c:extLst>
        </c:ser>
        <c:ser>
          <c:idx val="8"/>
          <c:order val="9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Polar!$J$2:$J$25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1A-4DD8-93F9-180848328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catterChart>
        <c:scatterStyle val="smoothMarker"/>
        <c:varyColors val="0"/>
        <c:ser>
          <c:idx val="9"/>
          <c:order val="0"/>
          <c:spPr>
            <a:ln>
              <a:solidFill>
                <a:schemeClr val="tx1"/>
              </a:solidFill>
              <a:tailEnd type="stealth"/>
            </a:ln>
          </c:spPr>
          <c:marker>
            <c:symbol val="none"/>
          </c:marker>
          <c:xVal>
            <c:numRef>
              <c:f>Plot!$G$36:$H$36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-1.0500000000000001E-2</c:v>
                </c:pt>
              </c:numCache>
            </c:numRef>
          </c:xVal>
          <c:yVal>
            <c:numRef>
              <c:f>Plot!$G$37:$H$37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-0.38760000000000006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D1A-4DD8-93F9-180848328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32928"/>
        <c:axId val="170731392"/>
      </c:scatterChart>
      <c:valAx>
        <c:axId val="170731392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2928"/>
        <c:crosses val="autoZero"/>
        <c:crossBetween val="midCat"/>
      </c:valAx>
      <c:valAx>
        <c:axId val="170732928"/>
        <c:scaling>
          <c:orientation val="minMax"/>
          <c:max val="1"/>
          <c:min val="-1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1392"/>
        <c:crosses val="autoZero"/>
        <c:crossBetween val="midCat"/>
      </c:valAx>
      <c:spPr>
        <a:solidFill>
          <a:schemeClr val="accent3">
            <a:lumMod val="60000"/>
            <a:lumOff val="40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>
      <a:solidFill>
        <a:schemeClr val="accent3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4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0-4698-B744-C84CB0F7E1C2}"/>
            </c:ext>
          </c:extLst>
        </c:ser>
        <c:ser>
          <c:idx val="1"/>
          <c:order val="5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Polar!$C$2:$C$25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C0-4698-B744-C84CB0F7E1C2}"/>
            </c:ext>
          </c:extLst>
        </c:ser>
        <c:ser>
          <c:idx val="2"/>
          <c:order val="6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Polar!$D$2:$D$25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C0-4698-B744-C84CB0F7E1C2}"/>
            </c:ext>
          </c:extLst>
        </c:ser>
        <c:ser>
          <c:idx val="3"/>
          <c:order val="7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Polar!$E$2:$E$25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C0-4698-B744-C84CB0F7E1C2}"/>
            </c:ext>
          </c:extLst>
        </c:ser>
        <c:ser>
          <c:idx val="4"/>
          <c:order val="8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Polar!$F$2:$F$25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C0-4698-B744-C84CB0F7E1C2}"/>
            </c:ext>
          </c:extLst>
        </c:ser>
        <c:ser>
          <c:idx val="5"/>
          <c:order val="9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Polar!$G$2:$G$25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C0-4698-B744-C84CB0F7E1C2}"/>
            </c:ext>
          </c:extLst>
        </c:ser>
        <c:ser>
          <c:idx val="6"/>
          <c:order val="10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Polar!$H$2:$H$25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C0-4698-B744-C84CB0F7E1C2}"/>
            </c:ext>
          </c:extLst>
        </c:ser>
        <c:ser>
          <c:idx val="7"/>
          <c:order val="11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Polar!$I$2:$I$25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C0-4698-B744-C84CB0F7E1C2}"/>
            </c:ext>
          </c:extLst>
        </c:ser>
        <c:ser>
          <c:idx val="8"/>
          <c:order val="12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Polar!$J$2:$J$25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C0-4698-B744-C84CB0F7E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catterChart>
        <c:scatterStyle val="smoothMarker"/>
        <c:varyColors val="0"/>
        <c:ser>
          <c:idx val="10"/>
          <c:order val="0"/>
          <c:spPr>
            <a:ln w="12700">
              <a:solidFill>
                <a:srgbClr val="FF0000"/>
              </a:solidFill>
              <a:tailEnd type="stealth"/>
            </a:ln>
          </c:spPr>
          <c:marker>
            <c:symbol val="none"/>
          </c:marker>
          <c:xVal>
            <c:numRef>
              <c:f>Plot!$C$24:$D$24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0.92310000000000003</c:v>
                </c:pt>
              </c:numCache>
            </c:numRef>
          </c:xVal>
          <c:yVal>
            <c:numRef>
              <c:f>Plot!$C$25:$D$25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-0.2999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DC0-4698-B744-C84CB0F7E1C2}"/>
            </c:ext>
          </c:extLst>
        </c:ser>
        <c:ser>
          <c:idx val="12"/>
          <c:order val="1"/>
          <c:tx>
            <c:strRef>
              <c:f>Plot!$D$48</c:f>
              <c:strCache>
                <c:ptCount val="1"/>
                <c:pt idx="0">
                  <c:v>A1</c:v>
                </c:pt>
              </c:strCache>
            </c:strRef>
          </c:tx>
          <c:spPr>
            <a:ln>
              <a:solidFill>
                <a:srgbClr val="7030A0"/>
              </a:solidFill>
              <a:tailEnd type="stealth"/>
            </a:ln>
          </c:spPr>
          <c:marker>
            <c:symbol val="none"/>
          </c:marker>
          <c:xVal>
            <c:numRef>
              <c:f>Plot!$C$49:$D$49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0.70269999999999999</c:v>
                </c:pt>
              </c:numCache>
            </c:numRef>
          </c:xVal>
          <c:yVal>
            <c:numRef>
              <c:f>Plot!$C$50:$D$50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3.1300000000000001E-2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DC0-4698-B744-C84CB0F7E1C2}"/>
            </c:ext>
          </c:extLst>
        </c:ser>
        <c:ser>
          <c:idx val="13"/>
          <c:order val="2"/>
          <c:tx>
            <c:strRef>
              <c:f>Plot!$F$48</c:f>
              <c:strCache>
                <c:ptCount val="1"/>
                <c:pt idx="0">
                  <c:v>A2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tailEnd type="stealth"/>
            </a:ln>
          </c:spPr>
          <c:marker>
            <c:symbol val="none"/>
          </c:marker>
          <c:xVal>
            <c:numRef>
              <c:f>Plot!$E$49:$F$49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0.22389999999999999</c:v>
                </c:pt>
              </c:numCache>
            </c:numRef>
          </c:xVal>
          <c:yVal>
            <c:numRef>
              <c:f>Plot!$E$50:$F$50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-0.20200000000000001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DC0-4698-B744-C84CB0F7E1C2}"/>
            </c:ext>
          </c:extLst>
        </c:ser>
        <c:ser>
          <c:idx val="9"/>
          <c:order val="3"/>
          <c:tx>
            <c:strRef>
              <c:f>Plot!$H$48</c:f>
              <c:strCache>
                <c:ptCount val="1"/>
                <c:pt idx="0">
                  <c:v>A0</c:v>
                </c:pt>
              </c:strCache>
            </c:strRef>
          </c:tx>
          <c:spPr>
            <a:ln>
              <a:solidFill>
                <a:srgbClr val="8B814F"/>
              </a:solidFill>
              <a:tailEnd type="stealth"/>
            </a:ln>
          </c:spPr>
          <c:marker>
            <c:symbol val="none"/>
          </c:marker>
          <c:xVal>
            <c:numRef>
              <c:f>Plot!$G$49:$H$49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-3.5000000000000001E-3</c:v>
                </c:pt>
              </c:numCache>
            </c:numRef>
          </c:xVal>
          <c:yVal>
            <c:numRef>
              <c:f>Plot!$G$50:$H$50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-0.12920000000000001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DC0-4698-B744-C84CB0F7E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32928"/>
        <c:axId val="170731392"/>
      </c:scatterChart>
      <c:valAx>
        <c:axId val="170731392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2928"/>
        <c:crosses val="autoZero"/>
        <c:crossBetween val="midCat"/>
      </c:valAx>
      <c:valAx>
        <c:axId val="170732928"/>
        <c:scaling>
          <c:orientation val="minMax"/>
          <c:max val="1"/>
          <c:min val="-1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1392"/>
        <c:crosses val="autoZero"/>
        <c:crossBetween val="midCat"/>
      </c:valAx>
      <c:spPr>
        <a:solidFill>
          <a:schemeClr val="accent2">
            <a:lumMod val="60000"/>
            <a:lumOff val="40000"/>
          </a:schemeClr>
        </a:solidFill>
      </c:spPr>
    </c:plotArea>
    <c:plotVisOnly val="1"/>
    <c:dispBlanksAs val="gap"/>
    <c:showDLblsOverMax val="0"/>
  </c:chart>
  <c:spPr>
    <a:solidFill>
      <a:schemeClr val="accent2">
        <a:lumMod val="60000"/>
        <a:lumOff val="40000"/>
      </a:schemeClr>
    </a:solidFill>
    <a:ln>
      <a:solidFill>
        <a:schemeClr val="accent2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4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7-4E32-BBDD-4C122B1ED011}"/>
            </c:ext>
          </c:extLst>
        </c:ser>
        <c:ser>
          <c:idx val="1"/>
          <c:order val="5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Polar!$C$2:$C$25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47-4E32-BBDD-4C122B1ED011}"/>
            </c:ext>
          </c:extLst>
        </c:ser>
        <c:ser>
          <c:idx val="2"/>
          <c:order val="6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Polar!$D$2:$D$25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47-4E32-BBDD-4C122B1ED011}"/>
            </c:ext>
          </c:extLst>
        </c:ser>
        <c:ser>
          <c:idx val="3"/>
          <c:order val="7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Polar!$E$2:$E$25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47-4E32-BBDD-4C122B1ED011}"/>
            </c:ext>
          </c:extLst>
        </c:ser>
        <c:ser>
          <c:idx val="4"/>
          <c:order val="8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Polar!$F$2:$F$25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47-4E32-BBDD-4C122B1ED011}"/>
            </c:ext>
          </c:extLst>
        </c:ser>
        <c:ser>
          <c:idx val="5"/>
          <c:order val="9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Polar!$G$2:$G$25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47-4E32-BBDD-4C122B1ED011}"/>
            </c:ext>
          </c:extLst>
        </c:ser>
        <c:ser>
          <c:idx val="6"/>
          <c:order val="10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Polar!$H$2:$H$25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47-4E32-BBDD-4C122B1ED011}"/>
            </c:ext>
          </c:extLst>
        </c:ser>
        <c:ser>
          <c:idx val="7"/>
          <c:order val="11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Polar!$I$2:$I$25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847-4E32-BBDD-4C122B1ED011}"/>
            </c:ext>
          </c:extLst>
        </c:ser>
        <c:ser>
          <c:idx val="8"/>
          <c:order val="12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Polar!$J$2:$J$25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47-4E32-BBDD-4C122B1ED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catterChart>
        <c:scatterStyle val="smoothMarker"/>
        <c:varyColors val="0"/>
        <c:ser>
          <c:idx val="12"/>
          <c:order val="0"/>
          <c:tx>
            <c:strRef>
              <c:f>Plot!$D$52</c:f>
              <c:strCache>
                <c:ptCount val="1"/>
                <c:pt idx="0">
                  <c:v>B1</c:v>
                </c:pt>
              </c:strCache>
            </c:strRef>
          </c:tx>
          <c:spPr>
            <a:ln>
              <a:solidFill>
                <a:srgbClr val="7030A0"/>
              </a:solidFill>
              <a:tailEnd type="stealth"/>
            </a:ln>
          </c:spPr>
          <c:marker>
            <c:symbol val="none"/>
          </c:marker>
          <c:xVal>
            <c:numRef>
              <c:f>Plot!$C$53:$D$53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-0.32419999999999999</c:v>
                </c:pt>
              </c:numCache>
            </c:numRef>
          </c:xVal>
          <c:yVal>
            <c:numRef>
              <c:f>Plot!$C$54:$D$54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-0.62419999999999998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847-4E32-BBDD-4C122B1ED011}"/>
            </c:ext>
          </c:extLst>
        </c:ser>
        <c:ser>
          <c:idx val="10"/>
          <c:order val="1"/>
          <c:spPr>
            <a:ln w="12700">
              <a:solidFill>
                <a:srgbClr val="FFFF00"/>
              </a:solidFill>
              <a:tailEnd type="stealth"/>
            </a:ln>
          </c:spPr>
          <c:marker>
            <c:symbol val="none"/>
          </c:marker>
          <c:xVal>
            <c:numRef>
              <c:f>Plot!$E$24:$F$24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-0.26469999999999999</c:v>
                </c:pt>
              </c:numCache>
            </c:numRef>
          </c:xVal>
          <c:yVal>
            <c:numRef>
              <c:f>Plot!$E$25:$F$25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-0.45850000000000002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847-4E32-BBDD-4C122B1ED011}"/>
            </c:ext>
          </c:extLst>
        </c:ser>
        <c:ser>
          <c:idx val="13"/>
          <c:order val="2"/>
          <c:tx>
            <c:strRef>
              <c:f>Plot!$F$52</c:f>
              <c:strCache>
                <c:ptCount val="1"/>
                <c:pt idx="0">
                  <c:v>B2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tailEnd type="stealth"/>
            </a:ln>
          </c:spPr>
          <c:marker>
            <c:symbol val="none"/>
          </c:marker>
          <c:xVal>
            <c:numRef>
              <c:f>Plot!$E$53:$F$53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6.3E-2</c:v>
                </c:pt>
              </c:numCache>
            </c:numRef>
          </c:xVal>
          <c:yVal>
            <c:numRef>
              <c:f>Plot!$E$54:$F$54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0.2949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847-4E32-BBDD-4C122B1ED011}"/>
            </c:ext>
          </c:extLst>
        </c:ser>
        <c:ser>
          <c:idx val="9"/>
          <c:order val="3"/>
          <c:tx>
            <c:strRef>
              <c:f>Plot!$H$52</c:f>
              <c:strCache>
                <c:ptCount val="1"/>
                <c:pt idx="0">
                  <c:v>B0</c:v>
                </c:pt>
              </c:strCache>
            </c:strRef>
          </c:tx>
          <c:spPr>
            <a:ln>
              <a:solidFill>
                <a:srgbClr val="8B814F"/>
              </a:solidFill>
              <a:tailEnd type="stealth"/>
            </a:ln>
          </c:spPr>
          <c:marker>
            <c:symbol val="none"/>
          </c:marker>
          <c:xVal>
            <c:numRef>
              <c:f>Plot!$G$53:$H$53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-3.5000000000000001E-3</c:v>
                </c:pt>
              </c:numCache>
            </c:numRef>
          </c:xVal>
          <c:yVal>
            <c:numRef>
              <c:f>Plot!$G$54:$H$54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-0.12920000000000001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847-4E32-BBDD-4C122B1ED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32928"/>
        <c:axId val="170731392"/>
      </c:scatterChart>
      <c:valAx>
        <c:axId val="170731392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2928"/>
        <c:crosses val="autoZero"/>
        <c:crossBetween val="midCat"/>
      </c:valAx>
      <c:valAx>
        <c:axId val="170732928"/>
        <c:scaling>
          <c:orientation val="minMax"/>
          <c:max val="1"/>
          <c:min val="-1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1392"/>
        <c:crosses val="autoZero"/>
        <c:crossBetween val="midCat"/>
      </c:valAx>
      <c:spPr>
        <a:solidFill>
          <a:srgbClr val="FFC000"/>
        </a:solidFill>
      </c:spPr>
    </c:plotArea>
    <c:plotVisOnly val="1"/>
    <c:dispBlanksAs val="gap"/>
    <c:showDLblsOverMax val="0"/>
  </c:chart>
  <c:spPr>
    <a:solidFill>
      <a:srgbClr val="FFC000"/>
    </a:solidFill>
    <a:ln>
      <a:solidFill>
        <a:srgbClr val="FFC000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4"/>
          <c:spPr>
            <a:noFill/>
            <a:ln>
              <a:solidFill>
                <a:schemeClr val="bg1">
                  <a:lumMod val="7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B-4D30-800C-959C495DA986}"/>
            </c:ext>
          </c:extLst>
        </c:ser>
        <c:ser>
          <c:idx val="1"/>
          <c:order val="5"/>
          <c:spPr>
            <a:noFill/>
            <a:ln>
              <a:solidFill>
                <a:schemeClr val="bg1">
                  <a:lumMod val="7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Polar!$C$2:$C$25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8B-4D30-800C-959C495DA986}"/>
            </c:ext>
          </c:extLst>
        </c:ser>
        <c:ser>
          <c:idx val="2"/>
          <c:order val="6"/>
          <c:spPr>
            <a:noFill/>
            <a:ln>
              <a:solidFill>
                <a:schemeClr val="bg1">
                  <a:lumMod val="7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Polar!$D$2:$D$25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8B-4D30-800C-959C495DA986}"/>
            </c:ext>
          </c:extLst>
        </c:ser>
        <c:ser>
          <c:idx val="3"/>
          <c:order val="7"/>
          <c:spPr>
            <a:noFill/>
            <a:ln>
              <a:solidFill>
                <a:schemeClr val="bg1">
                  <a:lumMod val="7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Polar!$E$2:$E$25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8B-4D30-800C-959C495DA986}"/>
            </c:ext>
          </c:extLst>
        </c:ser>
        <c:ser>
          <c:idx val="4"/>
          <c:order val="8"/>
          <c:spPr>
            <a:noFill/>
            <a:ln>
              <a:solidFill>
                <a:schemeClr val="bg1">
                  <a:lumMod val="7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Polar!$F$2:$F$25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8B-4D30-800C-959C495DA986}"/>
            </c:ext>
          </c:extLst>
        </c:ser>
        <c:ser>
          <c:idx val="5"/>
          <c:order val="9"/>
          <c:spPr>
            <a:noFill/>
            <a:ln>
              <a:solidFill>
                <a:schemeClr val="bg1">
                  <a:lumMod val="7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Polar!$G$2:$G$25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8B-4D30-800C-959C495DA986}"/>
            </c:ext>
          </c:extLst>
        </c:ser>
        <c:ser>
          <c:idx val="6"/>
          <c:order val="10"/>
          <c:spPr>
            <a:noFill/>
            <a:ln>
              <a:solidFill>
                <a:schemeClr val="bg1">
                  <a:lumMod val="7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Polar!$H$2:$H$25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8B-4D30-800C-959C495DA986}"/>
            </c:ext>
          </c:extLst>
        </c:ser>
        <c:ser>
          <c:idx val="7"/>
          <c:order val="11"/>
          <c:spPr>
            <a:noFill/>
            <a:ln>
              <a:solidFill>
                <a:schemeClr val="bg1">
                  <a:lumMod val="7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Polar!$I$2:$I$25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A8B-4D30-800C-959C495DA986}"/>
            </c:ext>
          </c:extLst>
        </c:ser>
        <c:ser>
          <c:idx val="8"/>
          <c:order val="12"/>
          <c:spPr>
            <a:noFill/>
            <a:ln>
              <a:solidFill>
                <a:schemeClr val="bg1">
                  <a:lumMod val="7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Polar!$J$2:$J$25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A8B-4D30-800C-959C495DA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catterChart>
        <c:scatterStyle val="smoothMarker"/>
        <c:varyColors val="0"/>
        <c:ser>
          <c:idx val="12"/>
          <c:order val="0"/>
          <c:tx>
            <c:strRef>
              <c:f>Plot!$D$56</c:f>
              <c:strCache>
                <c:ptCount val="1"/>
                <c:pt idx="0">
                  <c:v>C1</c:v>
                </c:pt>
              </c:strCache>
            </c:strRef>
          </c:tx>
          <c:spPr>
            <a:ln>
              <a:solidFill>
                <a:srgbClr val="7030A0"/>
              </a:solidFill>
              <a:tailEnd type="stealth"/>
            </a:ln>
          </c:spPr>
          <c:marker>
            <c:symbol val="none"/>
          </c:marker>
          <c:xVal>
            <c:numRef>
              <c:f>Plot!$C$57:$D$57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-0.37840000000000001</c:v>
                </c:pt>
              </c:numCache>
            </c:numRef>
          </c:xVal>
          <c:yVal>
            <c:numRef>
              <c:f>Plot!$C$58:$D$58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0.59289999999999998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2A8B-4D30-800C-959C495DA986}"/>
            </c:ext>
          </c:extLst>
        </c:ser>
        <c:ser>
          <c:idx val="13"/>
          <c:order val="1"/>
          <c:tx>
            <c:strRef>
              <c:f>Plot!$F$56</c:f>
              <c:strCache>
                <c:ptCount val="1"/>
                <c:pt idx="0">
                  <c:v>C2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tailEnd type="stealth"/>
            </a:ln>
          </c:spPr>
          <c:marker>
            <c:symbol val="none"/>
          </c:marker>
          <c:xVal>
            <c:numRef>
              <c:f>Plot!$E$57:$F$57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-0.28689999999999999</c:v>
                </c:pt>
              </c:numCache>
            </c:numRef>
          </c:xVal>
          <c:yVal>
            <c:numRef>
              <c:f>Plot!$E$58:$F$58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-9.2899999999999996E-2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2A8B-4D30-800C-959C495DA986}"/>
            </c:ext>
          </c:extLst>
        </c:ser>
        <c:ser>
          <c:idx val="10"/>
          <c:order val="2"/>
          <c:spPr>
            <a:ln w="12700">
              <a:solidFill>
                <a:srgbClr val="0070C0"/>
              </a:solidFill>
              <a:tailEnd type="stealth"/>
            </a:ln>
          </c:spPr>
          <c:marker>
            <c:symbol val="none"/>
          </c:marker>
          <c:xVal>
            <c:numRef>
              <c:f>Plot!$G$24:$H$24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-0.66879999999999995</c:v>
                </c:pt>
              </c:numCache>
            </c:numRef>
          </c:xVal>
          <c:yVal>
            <c:numRef>
              <c:f>Plot!$G$25:$H$25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0.37069999999999997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2A8B-4D30-800C-959C495DA986}"/>
            </c:ext>
          </c:extLst>
        </c:ser>
        <c:ser>
          <c:idx val="9"/>
          <c:order val="3"/>
          <c:tx>
            <c:strRef>
              <c:f>Plot!$H$52</c:f>
              <c:strCache>
                <c:ptCount val="1"/>
                <c:pt idx="0">
                  <c:v>B0</c:v>
                </c:pt>
              </c:strCache>
            </c:strRef>
          </c:tx>
          <c:spPr>
            <a:ln>
              <a:solidFill>
                <a:srgbClr val="8B814F"/>
              </a:solidFill>
              <a:tailEnd type="stealth"/>
            </a:ln>
          </c:spPr>
          <c:marker>
            <c:symbol val="none"/>
          </c:marker>
          <c:xVal>
            <c:numRef>
              <c:f>Plot!$G$53:$H$53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-3.5000000000000001E-3</c:v>
                </c:pt>
              </c:numCache>
            </c:numRef>
          </c:xVal>
          <c:yVal>
            <c:numRef>
              <c:f>Plot!$G$54:$H$54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-0.12920000000000001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2A8B-4D30-800C-959C495DA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32928"/>
        <c:axId val="170731392"/>
      </c:scatterChart>
      <c:valAx>
        <c:axId val="170731392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2928"/>
        <c:crosses val="autoZero"/>
        <c:crossBetween val="midCat"/>
      </c:valAx>
      <c:valAx>
        <c:axId val="170732928"/>
        <c:scaling>
          <c:orientation val="minMax"/>
          <c:max val="1"/>
          <c:min val="-1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1392"/>
        <c:crosses val="autoZero"/>
        <c:crossBetween val="midCat"/>
      </c:valAx>
      <c:spPr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c:spPr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>
      <a:solidFill>
        <a:schemeClr val="tx2">
          <a:lumMod val="40000"/>
          <a:lumOff val="6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4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4-4528-8399-6E0D0288B064}"/>
            </c:ext>
          </c:extLst>
        </c:ser>
        <c:ser>
          <c:idx val="1"/>
          <c:order val="5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Polar!$C$2:$C$25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84-4528-8399-6E0D0288B064}"/>
            </c:ext>
          </c:extLst>
        </c:ser>
        <c:ser>
          <c:idx val="2"/>
          <c:order val="6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Polar!$D$2:$D$25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84-4528-8399-6E0D0288B064}"/>
            </c:ext>
          </c:extLst>
        </c:ser>
        <c:ser>
          <c:idx val="3"/>
          <c:order val="7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Polar!$E$2:$E$25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84-4528-8399-6E0D0288B064}"/>
            </c:ext>
          </c:extLst>
        </c:ser>
        <c:ser>
          <c:idx val="4"/>
          <c:order val="8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Polar!$F$2:$F$25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84-4528-8399-6E0D0288B064}"/>
            </c:ext>
          </c:extLst>
        </c:ser>
        <c:ser>
          <c:idx val="5"/>
          <c:order val="9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Polar!$G$2:$G$25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84-4528-8399-6E0D0288B064}"/>
            </c:ext>
          </c:extLst>
        </c:ser>
        <c:ser>
          <c:idx val="6"/>
          <c:order val="10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Polar!$H$2:$H$25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84-4528-8399-6E0D0288B064}"/>
            </c:ext>
          </c:extLst>
        </c:ser>
        <c:ser>
          <c:idx val="7"/>
          <c:order val="11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Polar!$I$2:$I$25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584-4528-8399-6E0D0288B064}"/>
            </c:ext>
          </c:extLst>
        </c:ser>
        <c:ser>
          <c:idx val="8"/>
          <c:order val="12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Polar!$J$2:$J$25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84-4528-8399-6E0D0288B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catterChart>
        <c:scatterStyle val="smoothMarker"/>
        <c:varyColors val="0"/>
        <c:ser>
          <c:idx val="10"/>
          <c:order val="0"/>
          <c:spPr>
            <a:ln w="12700">
              <a:solidFill>
                <a:schemeClr val="tx1"/>
              </a:solidFill>
              <a:tailEnd type="stealth"/>
            </a:ln>
          </c:spPr>
          <c:marker>
            <c:symbol val="none"/>
          </c:marker>
          <c:xVal>
            <c:numRef>
              <c:f>Plot!$G$36:$H$36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-1.0500000000000001E-2</c:v>
                </c:pt>
              </c:numCache>
            </c:numRef>
          </c:xVal>
          <c:yVal>
            <c:numRef>
              <c:f>Plot!$G$37:$H$37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-0.38760000000000006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584-4528-8399-6E0D0288B064}"/>
            </c:ext>
          </c:extLst>
        </c:ser>
        <c:ser>
          <c:idx val="12"/>
          <c:order val="1"/>
          <c:spPr>
            <a:ln w="12700">
              <a:solidFill>
                <a:srgbClr val="FF0000"/>
              </a:solidFill>
              <a:tailEnd type="stealth"/>
            </a:ln>
          </c:spPr>
          <c:marker>
            <c:symbol val="none"/>
          </c:marker>
          <c:xVal>
            <c:numRef>
              <c:f>Plot!$N$24:$O$24</c:f>
              <c:numCache>
                <c:formatCode>0.0</c:formatCode>
                <c:ptCount val="2"/>
                <c:pt idx="0">
                  <c:v>0</c:v>
                </c:pt>
                <c:pt idx="1">
                  <c:v>0.92310000000000003</c:v>
                </c:pt>
              </c:numCache>
            </c:numRef>
          </c:xVal>
          <c:yVal>
            <c:numRef>
              <c:f>Plot!$N$25:$O$25</c:f>
              <c:numCache>
                <c:formatCode>0.0</c:formatCode>
                <c:ptCount val="2"/>
                <c:pt idx="0">
                  <c:v>0</c:v>
                </c:pt>
                <c:pt idx="1">
                  <c:v>-0.2999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584-4528-8399-6E0D0288B064}"/>
            </c:ext>
          </c:extLst>
        </c:ser>
        <c:ser>
          <c:idx val="13"/>
          <c:order val="2"/>
          <c:spPr>
            <a:ln w="12700">
              <a:solidFill>
                <a:srgbClr val="FFFF00"/>
              </a:solidFill>
              <a:tailEnd type="stealth"/>
            </a:ln>
          </c:spPr>
          <c:marker>
            <c:symbol val="none"/>
          </c:marker>
          <c:xVal>
            <c:numRef>
              <c:f>Plot!$P$24:$Q$24</c:f>
              <c:numCache>
                <c:formatCode>0.0</c:formatCode>
                <c:ptCount val="2"/>
                <c:pt idx="0">
                  <c:v>0.92310000000000003</c:v>
                </c:pt>
                <c:pt idx="1">
                  <c:v>0.6584000000000001</c:v>
                </c:pt>
              </c:numCache>
            </c:numRef>
          </c:xVal>
          <c:yVal>
            <c:numRef>
              <c:f>Plot!$P$25:$Q$25</c:f>
              <c:numCache>
                <c:formatCode>0.0</c:formatCode>
                <c:ptCount val="2"/>
                <c:pt idx="0">
                  <c:v>-0.2999</c:v>
                </c:pt>
                <c:pt idx="1">
                  <c:v>-0.75839999999999996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584-4528-8399-6E0D0288B064}"/>
            </c:ext>
          </c:extLst>
        </c:ser>
        <c:ser>
          <c:idx val="9"/>
          <c:order val="3"/>
          <c:spPr>
            <a:ln w="12700">
              <a:solidFill>
                <a:srgbClr val="0070C0"/>
              </a:solidFill>
              <a:tailEnd type="stealth"/>
            </a:ln>
          </c:spPr>
          <c:marker>
            <c:symbol val="none"/>
          </c:marker>
          <c:xVal>
            <c:numRef>
              <c:f>Plot!$R$24:$S$24</c:f>
              <c:numCache>
                <c:formatCode>0.0</c:formatCode>
                <c:ptCount val="2"/>
                <c:pt idx="0">
                  <c:v>0.6584000000000001</c:v>
                </c:pt>
                <c:pt idx="1">
                  <c:v>-1.0399999999999854E-2</c:v>
                </c:pt>
              </c:numCache>
            </c:numRef>
          </c:xVal>
          <c:yVal>
            <c:numRef>
              <c:f>Plot!$R$25:$S$25</c:f>
              <c:numCache>
                <c:formatCode>0.0</c:formatCode>
                <c:ptCount val="2"/>
                <c:pt idx="0">
                  <c:v>-0.75839999999999996</c:v>
                </c:pt>
                <c:pt idx="1">
                  <c:v>-0.38769999999999999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584-4528-8399-6E0D0288B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32928"/>
        <c:axId val="170731392"/>
      </c:scatterChart>
      <c:valAx>
        <c:axId val="170731392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2928"/>
        <c:crosses val="autoZero"/>
        <c:crossBetween val="midCat"/>
      </c:valAx>
      <c:valAx>
        <c:axId val="170732928"/>
        <c:scaling>
          <c:orientation val="minMax"/>
          <c:max val="1"/>
          <c:min val="-1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1392"/>
        <c:crosses val="autoZero"/>
        <c:crossBetween val="midCat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3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5-4C4C-8FE1-3D6B91EF22D3}"/>
            </c:ext>
          </c:extLst>
        </c:ser>
        <c:ser>
          <c:idx val="1"/>
          <c:order val="4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Polar!$C$2:$C$25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5-4C4C-8FE1-3D6B91EF22D3}"/>
            </c:ext>
          </c:extLst>
        </c:ser>
        <c:ser>
          <c:idx val="2"/>
          <c:order val="5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Polar!$D$2:$D$25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5-4C4C-8FE1-3D6B91EF22D3}"/>
            </c:ext>
          </c:extLst>
        </c:ser>
        <c:ser>
          <c:idx val="3"/>
          <c:order val="6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Polar!$E$2:$E$25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B5-4C4C-8FE1-3D6B91EF22D3}"/>
            </c:ext>
          </c:extLst>
        </c:ser>
        <c:ser>
          <c:idx val="4"/>
          <c:order val="7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Polar!$F$2:$F$25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B5-4C4C-8FE1-3D6B91EF22D3}"/>
            </c:ext>
          </c:extLst>
        </c:ser>
        <c:ser>
          <c:idx val="5"/>
          <c:order val="8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Polar!$G$2:$G$25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B5-4C4C-8FE1-3D6B91EF22D3}"/>
            </c:ext>
          </c:extLst>
        </c:ser>
        <c:ser>
          <c:idx val="6"/>
          <c:order val="9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Polar!$H$2:$H$25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B5-4C4C-8FE1-3D6B91EF22D3}"/>
            </c:ext>
          </c:extLst>
        </c:ser>
        <c:ser>
          <c:idx val="7"/>
          <c:order val="10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Polar!$I$2:$I$25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B5-4C4C-8FE1-3D6B91EF22D3}"/>
            </c:ext>
          </c:extLst>
        </c:ser>
        <c:ser>
          <c:idx val="8"/>
          <c:order val="11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Polar!$J$2:$J$25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B5-4C4C-8FE1-3D6B91EF2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catterChart>
        <c:scatterStyle val="smoothMarker"/>
        <c:varyColors val="0"/>
        <c:ser>
          <c:idx val="12"/>
          <c:order val="0"/>
          <c:tx>
            <c:v>A1</c:v>
          </c:tx>
          <c:spPr>
            <a:ln>
              <a:solidFill>
                <a:srgbClr val="FF0000"/>
              </a:solidFill>
              <a:tailEnd type="stealth"/>
            </a:ln>
          </c:spPr>
          <c:marker>
            <c:symbol val="none"/>
          </c:marker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9D-47B2-84F5-0BB50F53BF3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Plot!$C$28:$D$28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0.70269999999999999</c:v>
                </c:pt>
              </c:numCache>
            </c:numRef>
          </c:xVal>
          <c:yVal>
            <c:numRef>
              <c:f>Plot!$C$29:$D$29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3.1300000000000001E-2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5B5-4C4C-8FE1-3D6B91EF22D3}"/>
            </c:ext>
          </c:extLst>
        </c:ser>
        <c:ser>
          <c:idx val="13"/>
          <c:order val="1"/>
          <c:tx>
            <c:v>B1</c:v>
          </c:tx>
          <c:spPr>
            <a:ln>
              <a:solidFill>
                <a:srgbClr val="FFFF00"/>
              </a:solidFill>
              <a:tailEnd type="stealth"/>
            </a:ln>
          </c:spPr>
          <c:marker>
            <c:symbol val="none"/>
          </c:marker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9D-47B2-84F5-0BB50F53BF3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Plot!$E$28:$F$28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-0.32419999999999999</c:v>
                </c:pt>
              </c:numCache>
            </c:numRef>
          </c:xVal>
          <c:yVal>
            <c:numRef>
              <c:f>Plot!$E$29:$F$29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-0.62419999999999998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5B5-4C4C-8FE1-3D6B91EF22D3}"/>
            </c:ext>
          </c:extLst>
        </c:ser>
        <c:ser>
          <c:idx val="9"/>
          <c:order val="2"/>
          <c:tx>
            <c:v>C1</c:v>
          </c:tx>
          <c:spPr>
            <a:ln>
              <a:solidFill>
                <a:srgbClr val="0070C0"/>
              </a:solidFill>
              <a:tailEnd type="stealth"/>
            </a:ln>
          </c:spPr>
          <c:marker>
            <c:symbol val="none"/>
          </c:marker>
          <c:dLbls>
            <c:dLbl>
              <c:idx val="1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9D-47B2-84F5-0BB50F53BF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Plot!$G$28:$H$28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-0.37840000000000001</c:v>
                </c:pt>
              </c:numCache>
            </c:numRef>
          </c:xVal>
          <c:yVal>
            <c:numRef>
              <c:f>Plot!$G$29:$H$29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0.59289999999999998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5B5-4C4C-8FE1-3D6B91EF2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32928"/>
        <c:axId val="170731392"/>
      </c:scatterChart>
      <c:valAx>
        <c:axId val="170731392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2928"/>
        <c:crosses val="autoZero"/>
        <c:crossBetween val="midCat"/>
      </c:valAx>
      <c:valAx>
        <c:axId val="170732928"/>
        <c:scaling>
          <c:orientation val="minMax"/>
          <c:max val="1"/>
          <c:min val="-1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1392"/>
        <c:crosses val="autoZero"/>
        <c:crossBetween val="midCat"/>
      </c:valAx>
      <c:spPr>
        <a:solidFill>
          <a:schemeClr val="accent4">
            <a:lumMod val="60000"/>
            <a:lumOff val="40000"/>
          </a:schemeClr>
        </a:solidFill>
      </c:spPr>
    </c:plotArea>
    <c:plotVisOnly val="1"/>
    <c:dispBlanksAs val="gap"/>
    <c:showDLblsOverMax val="0"/>
  </c:chart>
  <c:spPr>
    <a:solidFill>
      <a:schemeClr val="accent4">
        <a:lumMod val="60000"/>
        <a:lumOff val="40000"/>
      </a:schemeClr>
    </a:solidFill>
    <a:ln>
      <a:solidFill>
        <a:schemeClr val="accent4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3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8-4721-BFAD-118135FE8F80}"/>
            </c:ext>
          </c:extLst>
        </c:ser>
        <c:ser>
          <c:idx val="1"/>
          <c:order val="4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Polar!$C$2:$C$25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8-4721-BFAD-118135FE8F80}"/>
            </c:ext>
          </c:extLst>
        </c:ser>
        <c:ser>
          <c:idx val="2"/>
          <c:order val="5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Polar!$D$2:$D$25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F8-4721-BFAD-118135FE8F80}"/>
            </c:ext>
          </c:extLst>
        </c:ser>
        <c:ser>
          <c:idx val="3"/>
          <c:order val="6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Polar!$E$2:$E$25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F8-4721-BFAD-118135FE8F80}"/>
            </c:ext>
          </c:extLst>
        </c:ser>
        <c:ser>
          <c:idx val="4"/>
          <c:order val="7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Polar!$F$2:$F$25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F8-4721-BFAD-118135FE8F80}"/>
            </c:ext>
          </c:extLst>
        </c:ser>
        <c:ser>
          <c:idx val="5"/>
          <c:order val="8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Polar!$G$2:$G$25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F8-4721-BFAD-118135FE8F80}"/>
            </c:ext>
          </c:extLst>
        </c:ser>
        <c:ser>
          <c:idx val="6"/>
          <c:order val="9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Polar!$H$2:$H$25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F8-4721-BFAD-118135FE8F80}"/>
            </c:ext>
          </c:extLst>
        </c:ser>
        <c:ser>
          <c:idx val="7"/>
          <c:order val="10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Polar!$I$2:$I$25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9F8-4721-BFAD-118135FE8F80}"/>
            </c:ext>
          </c:extLst>
        </c:ser>
        <c:ser>
          <c:idx val="8"/>
          <c:order val="11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Polar!$J$2:$J$25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F8-4721-BFAD-118135FE8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catterChart>
        <c:scatterStyle val="smoothMarker"/>
        <c:varyColors val="0"/>
        <c:ser>
          <c:idx val="12"/>
          <c:order val="0"/>
          <c:tx>
            <c:v>A2</c:v>
          </c:tx>
          <c:spPr>
            <a:ln>
              <a:solidFill>
                <a:srgbClr val="FF0000"/>
              </a:solidFill>
              <a:tailEnd type="stealth"/>
            </a:ln>
          </c:spPr>
          <c:marker>
            <c:symbol val="none"/>
          </c:marker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07-4938-8B81-C28EA4823D2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Plot!$C$32:$D$32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0.22389999999999999</c:v>
                </c:pt>
              </c:numCache>
            </c:numRef>
          </c:xVal>
          <c:yVal>
            <c:numRef>
              <c:f>Plot!$C$33:$D$33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-0.20200000000000001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9F8-4721-BFAD-118135FE8F80}"/>
            </c:ext>
          </c:extLst>
        </c:ser>
        <c:ser>
          <c:idx val="13"/>
          <c:order val="1"/>
          <c:tx>
            <c:v>B2</c:v>
          </c:tx>
          <c:spPr>
            <a:ln>
              <a:solidFill>
                <a:srgbClr val="FFFF00"/>
              </a:solidFill>
              <a:tailEnd type="stealth"/>
            </a:ln>
          </c:spPr>
          <c:marker>
            <c:symbol val="none"/>
          </c:marker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07-4938-8B81-C28EA4823D2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Plot!$E$32:$F$32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6.3E-2</c:v>
                </c:pt>
              </c:numCache>
            </c:numRef>
          </c:xVal>
          <c:yVal>
            <c:numRef>
              <c:f>Plot!$E$33:$F$33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0.2949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9F8-4721-BFAD-118135FE8F80}"/>
            </c:ext>
          </c:extLst>
        </c:ser>
        <c:ser>
          <c:idx val="9"/>
          <c:order val="2"/>
          <c:tx>
            <c:v>C2</c:v>
          </c:tx>
          <c:spPr>
            <a:ln>
              <a:solidFill>
                <a:srgbClr val="0070C0"/>
              </a:solidFill>
              <a:tailEnd type="stealth"/>
            </a:ln>
          </c:spPr>
          <c:marker>
            <c:symbol val="none"/>
          </c:marker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07-4938-8B81-C28EA4823D2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Plot!$G$32:$H$32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-0.28689999999999999</c:v>
                </c:pt>
              </c:numCache>
            </c:numRef>
          </c:xVal>
          <c:yVal>
            <c:numRef>
              <c:f>Plot!$G$33:$H$33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-9.2899999999999996E-2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9F8-4721-BFAD-118135FE8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32928"/>
        <c:axId val="170731392"/>
      </c:scatterChart>
      <c:valAx>
        <c:axId val="170731392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2928"/>
        <c:crosses val="autoZero"/>
        <c:crossBetween val="midCat"/>
      </c:valAx>
      <c:valAx>
        <c:axId val="170732928"/>
        <c:scaling>
          <c:orientation val="minMax"/>
          <c:max val="1"/>
          <c:min val="-1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1392"/>
        <c:crosses val="autoZero"/>
        <c:crossBetween val="midCat"/>
      </c:valAx>
      <c:spPr>
        <a:solidFill>
          <a:schemeClr val="accent5">
            <a:lumMod val="60000"/>
            <a:lumOff val="40000"/>
          </a:schemeClr>
        </a:solidFill>
      </c:spPr>
    </c:plotArea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ln>
      <a:solidFill>
        <a:schemeClr val="tx2">
          <a:lumMod val="60000"/>
          <a:lumOff val="4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1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7-408F-9F94-9D5D22E5410E}"/>
            </c:ext>
          </c:extLst>
        </c:ser>
        <c:ser>
          <c:idx val="1"/>
          <c:order val="2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Polar!$C$2:$C$25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7-408F-9F94-9D5D22E5410E}"/>
            </c:ext>
          </c:extLst>
        </c:ser>
        <c:ser>
          <c:idx val="2"/>
          <c:order val="3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Polar!$D$2:$D$25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97-408F-9F94-9D5D22E5410E}"/>
            </c:ext>
          </c:extLst>
        </c:ser>
        <c:ser>
          <c:idx val="3"/>
          <c:order val="4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Polar!$E$2:$E$25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97-408F-9F94-9D5D22E5410E}"/>
            </c:ext>
          </c:extLst>
        </c:ser>
        <c:ser>
          <c:idx val="4"/>
          <c:order val="5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Polar!$F$2:$F$25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97-408F-9F94-9D5D22E5410E}"/>
            </c:ext>
          </c:extLst>
        </c:ser>
        <c:ser>
          <c:idx val="5"/>
          <c:order val="6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Polar!$G$2:$G$25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97-408F-9F94-9D5D22E5410E}"/>
            </c:ext>
          </c:extLst>
        </c:ser>
        <c:ser>
          <c:idx val="6"/>
          <c:order val="7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Polar!$H$2:$H$25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97-408F-9F94-9D5D22E5410E}"/>
            </c:ext>
          </c:extLst>
        </c:ser>
        <c:ser>
          <c:idx val="7"/>
          <c:order val="8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Polar!$I$2:$I$25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97-408F-9F94-9D5D22E5410E}"/>
            </c:ext>
          </c:extLst>
        </c:ser>
        <c:ser>
          <c:idx val="8"/>
          <c:order val="9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Polar!$J$2:$J$25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397-408F-9F94-9D5D22E54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catterChart>
        <c:scatterStyle val="smoothMarker"/>
        <c:varyColors val="0"/>
        <c:ser>
          <c:idx val="9"/>
          <c:order val="0"/>
          <c:tx>
            <c:v>ABC0</c:v>
          </c:tx>
          <c:spPr>
            <a:ln>
              <a:solidFill>
                <a:schemeClr val="tx1"/>
              </a:solidFill>
              <a:tailEnd type="stealth"/>
            </a:ln>
          </c:spPr>
          <c:marker>
            <c:symbol val="none"/>
          </c:marker>
          <c:dLbls>
            <c:dLbl>
              <c:idx val="1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A2-4D27-AE34-E6E800791C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Plot!$C$36:$D$36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-3.5000000000000001E-3</c:v>
                </c:pt>
              </c:numCache>
            </c:numRef>
          </c:xVal>
          <c:yVal>
            <c:numRef>
              <c:f>Plot!$C$37:$D$37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-0.12920000000000001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397-408F-9F94-9D5D22E54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32928"/>
        <c:axId val="170731392"/>
      </c:scatterChart>
      <c:valAx>
        <c:axId val="170731392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2928"/>
        <c:crosses val="autoZero"/>
        <c:crossBetween val="midCat"/>
      </c:valAx>
      <c:valAx>
        <c:axId val="170732928"/>
        <c:scaling>
          <c:orientation val="minMax"/>
          <c:max val="1"/>
          <c:min val="-1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1392"/>
        <c:crosses val="autoZero"/>
        <c:crossBetween val="midCat"/>
      </c:valAx>
      <c:spPr>
        <a:solidFill>
          <a:schemeClr val="accent6">
            <a:lumMod val="60000"/>
            <a:lumOff val="40000"/>
          </a:schemeClr>
        </a:solidFill>
      </c:spPr>
    </c:plotArea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ln>
      <a:solidFill>
        <a:schemeClr val="accent6">
          <a:lumMod val="60000"/>
          <a:lumOff val="4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1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F8-4F6D-AA36-7E16463CFD89}"/>
            </c:ext>
          </c:extLst>
        </c:ser>
        <c:ser>
          <c:idx val="1"/>
          <c:order val="2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Polar!$C$2:$C$25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F8-4F6D-AA36-7E16463CFD89}"/>
            </c:ext>
          </c:extLst>
        </c:ser>
        <c:ser>
          <c:idx val="2"/>
          <c:order val="3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Polar!$D$2:$D$25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F8-4F6D-AA36-7E16463CFD89}"/>
            </c:ext>
          </c:extLst>
        </c:ser>
        <c:ser>
          <c:idx val="3"/>
          <c:order val="4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Polar!$E$2:$E$25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F8-4F6D-AA36-7E16463CFD89}"/>
            </c:ext>
          </c:extLst>
        </c:ser>
        <c:ser>
          <c:idx val="4"/>
          <c:order val="5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Polar!$F$2:$F$25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F8-4F6D-AA36-7E16463CFD89}"/>
            </c:ext>
          </c:extLst>
        </c:ser>
        <c:ser>
          <c:idx val="5"/>
          <c:order val="6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Polar!$G$2:$G$25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F8-4F6D-AA36-7E16463CFD89}"/>
            </c:ext>
          </c:extLst>
        </c:ser>
        <c:ser>
          <c:idx val="6"/>
          <c:order val="7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Polar!$H$2:$H$25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F8-4F6D-AA36-7E16463CFD89}"/>
            </c:ext>
          </c:extLst>
        </c:ser>
        <c:ser>
          <c:idx val="7"/>
          <c:order val="8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Polar!$I$2:$I$25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EF8-4F6D-AA36-7E16463CFD89}"/>
            </c:ext>
          </c:extLst>
        </c:ser>
        <c:ser>
          <c:idx val="8"/>
          <c:order val="9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Polar!$J$2:$J$25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EF8-4F6D-AA36-7E16463CF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catterChart>
        <c:scatterStyle val="smoothMarker"/>
        <c:varyColors val="0"/>
        <c:ser>
          <c:idx val="9"/>
          <c:order val="0"/>
          <c:tx>
            <c:v>N</c:v>
          </c:tx>
          <c:spPr>
            <a:ln>
              <a:solidFill>
                <a:schemeClr val="tx1"/>
              </a:solidFill>
              <a:tailEnd type="stealth"/>
            </a:ln>
          </c:spPr>
          <c:marker>
            <c:symbol val="none"/>
          </c:marker>
          <c:dLbls>
            <c:dLbl>
              <c:idx val="1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97-4C42-A459-6A07F91A044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Plot!$G$36:$H$36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-1.0500000000000001E-2</c:v>
                </c:pt>
              </c:numCache>
            </c:numRef>
          </c:xVal>
          <c:yVal>
            <c:numRef>
              <c:f>Plot!$G$37:$H$37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-0.38760000000000006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CEF8-4F6D-AA36-7E16463CF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32928"/>
        <c:axId val="170731392"/>
      </c:scatterChart>
      <c:valAx>
        <c:axId val="170731392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2928"/>
        <c:crosses val="autoZero"/>
        <c:crossBetween val="midCat"/>
      </c:valAx>
      <c:valAx>
        <c:axId val="170732928"/>
        <c:scaling>
          <c:orientation val="minMax"/>
          <c:max val="1"/>
          <c:min val="-1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1392"/>
        <c:crosses val="autoZero"/>
        <c:crossBetween val="midCat"/>
      </c:valAx>
      <c:spPr>
        <a:solidFill>
          <a:schemeClr val="accent3">
            <a:lumMod val="60000"/>
            <a:lumOff val="40000"/>
          </a:schemeClr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>
      <a:solidFill>
        <a:schemeClr val="accent3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4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E-4511-B27D-52B2A3428AA6}"/>
            </c:ext>
          </c:extLst>
        </c:ser>
        <c:ser>
          <c:idx val="1"/>
          <c:order val="5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Polar!$C$2:$C$25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2E-4511-B27D-52B2A3428AA6}"/>
            </c:ext>
          </c:extLst>
        </c:ser>
        <c:ser>
          <c:idx val="2"/>
          <c:order val="6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Polar!$D$2:$D$25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2E-4511-B27D-52B2A3428AA6}"/>
            </c:ext>
          </c:extLst>
        </c:ser>
        <c:ser>
          <c:idx val="3"/>
          <c:order val="7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Polar!$E$2:$E$25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2E-4511-B27D-52B2A3428AA6}"/>
            </c:ext>
          </c:extLst>
        </c:ser>
        <c:ser>
          <c:idx val="4"/>
          <c:order val="8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Polar!$F$2:$F$25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2E-4511-B27D-52B2A3428AA6}"/>
            </c:ext>
          </c:extLst>
        </c:ser>
        <c:ser>
          <c:idx val="5"/>
          <c:order val="9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Polar!$G$2:$G$25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2E-4511-B27D-52B2A3428AA6}"/>
            </c:ext>
          </c:extLst>
        </c:ser>
        <c:ser>
          <c:idx val="6"/>
          <c:order val="10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Polar!$H$2:$H$25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2E-4511-B27D-52B2A3428AA6}"/>
            </c:ext>
          </c:extLst>
        </c:ser>
        <c:ser>
          <c:idx val="7"/>
          <c:order val="11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Polar!$I$2:$I$25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22E-4511-B27D-52B2A3428AA6}"/>
            </c:ext>
          </c:extLst>
        </c:ser>
        <c:ser>
          <c:idx val="8"/>
          <c:order val="12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Polar!$J$2:$J$25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2E-4511-B27D-52B2A3428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catterChart>
        <c:scatterStyle val="smoothMarker"/>
        <c:varyColors val="0"/>
        <c:ser>
          <c:idx val="10"/>
          <c:order val="0"/>
          <c:tx>
            <c:v>A</c:v>
          </c:tx>
          <c:spPr>
            <a:ln w="12700">
              <a:solidFill>
                <a:srgbClr val="FF0000"/>
              </a:solidFill>
              <a:tailEnd type="stealth"/>
            </a:ln>
          </c:spPr>
          <c:marker>
            <c:symbol val="none"/>
          </c:marker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F7-4AB2-972D-34AEAE7B221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Plot!$C$24:$D$24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0.92310000000000003</c:v>
                </c:pt>
              </c:numCache>
            </c:numRef>
          </c:xVal>
          <c:yVal>
            <c:numRef>
              <c:f>Plot!$C$25:$D$25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-0.2999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60-4D0C-B793-70049D121740}"/>
            </c:ext>
          </c:extLst>
        </c:ser>
        <c:ser>
          <c:idx val="12"/>
          <c:order val="1"/>
          <c:tx>
            <c:strRef>
              <c:f>Plot!$D$48</c:f>
              <c:strCache>
                <c:ptCount val="1"/>
                <c:pt idx="0">
                  <c:v>A1</c:v>
                </c:pt>
              </c:strCache>
            </c:strRef>
          </c:tx>
          <c:spPr>
            <a:ln>
              <a:solidFill>
                <a:srgbClr val="7030A0"/>
              </a:solidFill>
              <a:tailEnd type="stealth"/>
            </a:ln>
          </c:spPr>
          <c:marker>
            <c:symbol val="none"/>
          </c:marker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7030A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F7-4AB2-972D-34AEAE7B221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Plot!$C$49:$D$49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0.70269999999999999</c:v>
                </c:pt>
              </c:numCache>
            </c:numRef>
          </c:xVal>
          <c:yVal>
            <c:numRef>
              <c:f>Plot!$C$50:$D$50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3.1300000000000001E-2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22E-4511-B27D-52B2A3428AA6}"/>
            </c:ext>
          </c:extLst>
        </c:ser>
        <c:ser>
          <c:idx val="13"/>
          <c:order val="2"/>
          <c:tx>
            <c:strRef>
              <c:f>Plot!$F$48</c:f>
              <c:strCache>
                <c:ptCount val="1"/>
                <c:pt idx="0">
                  <c:v>A2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tailEnd type="stealth"/>
            </a:ln>
          </c:spPr>
          <c:marker>
            <c:symbol val="none"/>
          </c:marker>
          <c:dLbls>
            <c:dLbl>
              <c:idx val="1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F7-4AB2-972D-34AEAE7B22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Plot!$E$49:$F$49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0.22389999999999999</c:v>
                </c:pt>
              </c:numCache>
            </c:numRef>
          </c:xVal>
          <c:yVal>
            <c:numRef>
              <c:f>Plot!$E$50:$F$50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-0.20200000000000001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22E-4511-B27D-52B2A3428AA6}"/>
            </c:ext>
          </c:extLst>
        </c:ser>
        <c:ser>
          <c:idx val="9"/>
          <c:order val="3"/>
          <c:tx>
            <c:strRef>
              <c:f>Analysis!$N$12</c:f>
              <c:strCache>
                <c:ptCount val="1"/>
                <c:pt idx="0">
                  <c:v>A0</c:v>
                </c:pt>
              </c:strCache>
            </c:strRef>
          </c:tx>
          <c:spPr>
            <a:ln>
              <a:solidFill>
                <a:srgbClr val="8B814F"/>
              </a:solidFill>
              <a:tailEnd type="stealth"/>
            </a:ln>
          </c:spPr>
          <c:marker>
            <c:symbol val="none"/>
          </c:marker>
          <c:dLbls>
            <c:dLbl>
              <c:idx val="1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F7-4AB2-972D-34AEAE7B22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8B814F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Plot!$G$49:$H$49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-3.5000000000000001E-3</c:v>
                </c:pt>
              </c:numCache>
            </c:numRef>
          </c:xVal>
          <c:yVal>
            <c:numRef>
              <c:f>Plot!$G$50:$H$50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-0.12920000000000001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22E-4511-B27D-52B2A3428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32928"/>
        <c:axId val="170731392"/>
      </c:scatterChart>
      <c:valAx>
        <c:axId val="170731392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2928"/>
        <c:crosses val="autoZero"/>
        <c:crossBetween val="midCat"/>
      </c:valAx>
      <c:valAx>
        <c:axId val="170732928"/>
        <c:scaling>
          <c:orientation val="minMax"/>
          <c:max val="1"/>
          <c:min val="-1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1392"/>
        <c:crosses val="autoZero"/>
        <c:crossBetween val="midCat"/>
      </c:valAx>
      <c:spPr>
        <a:solidFill>
          <a:schemeClr val="accent2">
            <a:lumMod val="60000"/>
            <a:lumOff val="40000"/>
          </a:schemeClr>
        </a:solidFill>
      </c:spPr>
    </c:plotArea>
    <c:plotVisOnly val="1"/>
    <c:dispBlanksAs val="gap"/>
    <c:showDLblsOverMax val="0"/>
  </c:chart>
  <c:spPr>
    <a:solidFill>
      <a:schemeClr val="accent2">
        <a:lumMod val="60000"/>
        <a:lumOff val="40000"/>
      </a:schemeClr>
    </a:solidFill>
    <a:ln>
      <a:solidFill>
        <a:schemeClr val="accent2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4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87-4760-B007-9BF3C1CB226F}"/>
            </c:ext>
          </c:extLst>
        </c:ser>
        <c:ser>
          <c:idx val="1"/>
          <c:order val="5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Polar!$C$2:$C$25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87-4760-B007-9BF3C1CB226F}"/>
            </c:ext>
          </c:extLst>
        </c:ser>
        <c:ser>
          <c:idx val="2"/>
          <c:order val="6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Polar!$D$2:$D$25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87-4760-B007-9BF3C1CB226F}"/>
            </c:ext>
          </c:extLst>
        </c:ser>
        <c:ser>
          <c:idx val="3"/>
          <c:order val="7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Polar!$E$2:$E$25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87-4760-B007-9BF3C1CB226F}"/>
            </c:ext>
          </c:extLst>
        </c:ser>
        <c:ser>
          <c:idx val="4"/>
          <c:order val="8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Polar!$F$2:$F$25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87-4760-B007-9BF3C1CB226F}"/>
            </c:ext>
          </c:extLst>
        </c:ser>
        <c:ser>
          <c:idx val="5"/>
          <c:order val="9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Polar!$G$2:$G$25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87-4760-B007-9BF3C1CB226F}"/>
            </c:ext>
          </c:extLst>
        </c:ser>
        <c:ser>
          <c:idx val="6"/>
          <c:order val="10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Polar!$H$2:$H$25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87-4760-B007-9BF3C1CB226F}"/>
            </c:ext>
          </c:extLst>
        </c:ser>
        <c:ser>
          <c:idx val="7"/>
          <c:order val="11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Polar!$I$2:$I$25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87-4760-B007-9BF3C1CB226F}"/>
            </c:ext>
          </c:extLst>
        </c:ser>
        <c:ser>
          <c:idx val="8"/>
          <c:order val="12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Polar!$J$2:$J$25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87-4760-B007-9BF3C1CB2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catterChart>
        <c:scatterStyle val="smoothMarker"/>
        <c:varyColors val="0"/>
        <c:ser>
          <c:idx val="12"/>
          <c:order val="0"/>
          <c:tx>
            <c:strRef>
              <c:f>Plot!$D$52</c:f>
              <c:strCache>
                <c:ptCount val="1"/>
                <c:pt idx="0">
                  <c:v>B1</c:v>
                </c:pt>
              </c:strCache>
            </c:strRef>
          </c:tx>
          <c:spPr>
            <a:ln>
              <a:solidFill>
                <a:srgbClr val="7030A0"/>
              </a:solidFill>
              <a:tailEnd type="stealth"/>
            </a:ln>
          </c:spPr>
          <c:marker>
            <c:symbol val="none"/>
          </c:marker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7030A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BD-4936-9BDF-44F8FAAC718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Plot!$C$53:$D$53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-0.32419999999999999</c:v>
                </c:pt>
              </c:numCache>
            </c:numRef>
          </c:xVal>
          <c:yVal>
            <c:numRef>
              <c:f>Plot!$C$54:$D$54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-0.62419999999999998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787-4760-B007-9BF3C1CB226F}"/>
            </c:ext>
          </c:extLst>
        </c:ser>
        <c:ser>
          <c:idx val="10"/>
          <c:order val="1"/>
          <c:tx>
            <c:v>B</c:v>
          </c:tx>
          <c:spPr>
            <a:ln w="12700">
              <a:solidFill>
                <a:srgbClr val="FFFF00"/>
              </a:solidFill>
              <a:tailEnd type="stealth"/>
            </a:ln>
          </c:spPr>
          <c:marker>
            <c:symbol val="none"/>
          </c:marker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BD-4936-9BDF-44F8FAAC718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Plot!$E$24:$F$24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-0.26469999999999999</c:v>
                </c:pt>
              </c:numCache>
            </c:numRef>
          </c:xVal>
          <c:yVal>
            <c:numRef>
              <c:f>Plot!$E$25:$F$25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-0.45850000000000002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951-418D-BD76-E76EE49C366B}"/>
            </c:ext>
          </c:extLst>
        </c:ser>
        <c:ser>
          <c:idx val="13"/>
          <c:order val="2"/>
          <c:tx>
            <c:strRef>
              <c:f>Plot!$F$52</c:f>
              <c:strCache>
                <c:ptCount val="1"/>
                <c:pt idx="0">
                  <c:v>B2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tailEnd type="stealth"/>
            </a:ln>
          </c:spPr>
          <c:marker>
            <c:symbol val="none"/>
          </c:marker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BD-4936-9BDF-44F8FAAC718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Plot!$E$53:$F$53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6.3E-2</c:v>
                </c:pt>
              </c:numCache>
            </c:numRef>
          </c:xVal>
          <c:yVal>
            <c:numRef>
              <c:f>Plot!$E$54:$F$54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0.2949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787-4760-B007-9BF3C1CB226F}"/>
            </c:ext>
          </c:extLst>
        </c:ser>
        <c:ser>
          <c:idx val="9"/>
          <c:order val="3"/>
          <c:tx>
            <c:strRef>
              <c:f>Plot!$H$52</c:f>
              <c:strCache>
                <c:ptCount val="1"/>
                <c:pt idx="0">
                  <c:v>B0</c:v>
                </c:pt>
              </c:strCache>
            </c:strRef>
          </c:tx>
          <c:spPr>
            <a:ln>
              <a:solidFill>
                <a:srgbClr val="8B814F"/>
              </a:solidFill>
              <a:tailEnd type="stealth"/>
            </a:ln>
          </c:spPr>
          <c:marker>
            <c:symbol val="none"/>
          </c:marker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8B814F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BD-4936-9BDF-44F8FAAC718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Plot!$G$53:$H$53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-3.5000000000000001E-3</c:v>
                </c:pt>
              </c:numCache>
            </c:numRef>
          </c:xVal>
          <c:yVal>
            <c:numRef>
              <c:f>Plot!$G$54:$H$54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-0.12920000000000001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787-4760-B007-9BF3C1CB2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32928"/>
        <c:axId val="170731392"/>
      </c:scatterChart>
      <c:valAx>
        <c:axId val="170731392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2928"/>
        <c:crosses val="autoZero"/>
        <c:crossBetween val="midCat"/>
      </c:valAx>
      <c:valAx>
        <c:axId val="170732928"/>
        <c:scaling>
          <c:orientation val="minMax"/>
          <c:max val="1"/>
          <c:min val="-1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1392"/>
        <c:crosses val="autoZero"/>
        <c:crossBetween val="midCat"/>
      </c:valAx>
      <c:spPr>
        <a:solidFill>
          <a:srgbClr val="FFC000"/>
        </a:solidFill>
      </c:spPr>
    </c:plotArea>
    <c:plotVisOnly val="1"/>
    <c:dispBlanksAs val="gap"/>
    <c:showDLblsOverMax val="0"/>
  </c:chart>
  <c:spPr>
    <a:solidFill>
      <a:srgbClr val="FFC000"/>
    </a:solidFill>
    <a:ln>
      <a:solidFill>
        <a:srgbClr val="FFC000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4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7-45A7-AA65-6DF46DD8BFC5}"/>
            </c:ext>
          </c:extLst>
        </c:ser>
        <c:ser>
          <c:idx val="1"/>
          <c:order val="5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Polar!$C$2:$C$25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37-45A7-AA65-6DF46DD8BFC5}"/>
            </c:ext>
          </c:extLst>
        </c:ser>
        <c:ser>
          <c:idx val="2"/>
          <c:order val="6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Polar!$D$2:$D$25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37-45A7-AA65-6DF46DD8BFC5}"/>
            </c:ext>
          </c:extLst>
        </c:ser>
        <c:ser>
          <c:idx val="3"/>
          <c:order val="7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Polar!$E$2:$E$25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37-45A7-AA65-6DF46DD8BFC5}"/>
            </c:ext>
          </c:extLst>
        </c:ser>
        <c:ser>
          <c:idx val="4"/>
          <c:order val="8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Polar!$F$2:$F$25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37-45A7-AA65-6DF46DD8BFC5}"/>
            </c:ext>
          </c:extLst>
        </c:ser>
        <c:ser>
          <c:idx val="5"/>
          <c:order val="9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Polar!$G$2:$G$25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37-45A7-AA65-6DF46DD8BFC5}"/>
            </c:ext>
          </c:extLst>
        </c:ser>
        <c:ser>
          <c:idx val="6"/>
          <c:order val="10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Polar!$H$2:$H$25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37-45A7-AA65-6DF46DD8BFC5}"/>
            </c:ext>
          </c:extLst>
        </c:ser>
        <c:ser>
          <c:idx val="7"/>
          <c:order val="11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Polar!$I$2:$I$25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37-45A7-AA65-6DF46DD8BFC5}"/>
            </c:ext>
          </c:extLst>
        </c:ser>
        <c:ser>
          <c:idx val="8"/>
          <c:order val="12"/>
          <c:spPr>
            <a:noFill/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Polar!$J$2:$J$25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37-45A7-AA65-6DF46DD8B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catterChart>
        <c:scatterStyle val="smoothMarker"/>
        <c:varyColors val="0"/>
        <c:ser>
          <c:idx val="10"/>
          <c:order val="0"/>
          <c:spPr>
            <a:ln w="12700">
              <a:solidFill>
                <a:schemeClr val="tx1"/>
              </a:solidFill>
              <a:tailEnd type="stealth"/>
            </a:ln>
          </c:spPr>
          <c:marker>
            <c:symbol val="none"/>
          </c:marker>
          <c:xVal>
            <c:numRef>
              <c:f>Plot!$G$36:$H$36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-1.0500000000000001E-2</c:v>
                </c:pt>
              </c:numCache>
            </c:numRef>
          </c:xVal>
          <c:yVal>
            <c:numRef>
              <c:f>Plot!$G$37:$H$37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-0.38760000000000006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B437-45A7-AA65-6DF46DD8BFC5}"/>
            </c:ext>
          </c:extLst>
        </c:ser>
        <c:ser>
          <c:idx val="12"/>
          <c:order val="1"/>
          <c:spPr>
            <a:ln w="12700">
              <a:solidFill>
                <a:srgbClr val="FF0000"/>
              </a:solidFill>
              <a:tailEnd type="stealth"/>
            </a:ln>
          </c:spPr>
          <c:marker>
            <c:symbol val="none"/>
          </c:marker>
          <c:xVal>
            <c:numRef>
              <c:f>Plot!$N$24:$O$24</c:f>
              <c:numCache>
                <c:formatCode>0.0</c:formatCode>
                <c:ptCount val="2"/>
                <c:pt idx="0">
                  <c:v>0</c:v>
                </c:pt>
                <c:pt idx="1">
                  <c:v>0.92310000000000003</c:v>
                </c:pt>
              </c:numCache>
            </c:numRef>
          </c:xVal>
          <c:yVal>
            <c:numRef>
              <c:f>Plot!$N$25:$O$25</c:f>
              <c:numCache>
                <c:formatCode>0.0</c:formatCode>
                <c:ptCount val="2"/>
                <c:pt idx="0">
                  <c:v>0</c:v>
                </c:pt>
                <c:pt idx="1">
                  <c:v>-0.2999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437-45A7-AA65-6DF46DD8BFC5}"/>
            </c:ext>
          </c:extLst>
        </c:ser>
        <c:ser>
          <c:idx val="13"/>
          <c:order val="2"/>
          <c:spPr>
            <a:ln w="12700">
              <a:solidFill>
                <a:srgbClr val="FFFF00"/>
              </a:solidFill>
              <a:tailEnd type="stealth"/>
            </a:ln>
          </c:spPr>
          <c:marker>
            <c:symbol val="none"/>
          </c:marker>
          <c:xVal>
            <c:numRef>
              <c:f>Plot!$P$24:$Q$24</c:f>
              <c:numCache>
                <c:formatCode>0.0</c:formatCode>
                <c:ptCount val="2"/>
                <c:pt idx="0">
                  <c:v>0.92310000000000003</c:v>
                </c:pt>
                <c:pt idx="1">
                  <c:v>0.6584000000000001</c:v>
                </c:pt>
              </c:numCache>
            </c:numRef>
          </c:xVal>
          <c:yVal>
            <c:numRef>
              <c:f>Plot!$P$25:$Q$25</c:f>
              <c:numCache>
                <c:formatCode>0.0</c:formatCode>
                <c:ptCount val="2"/>
                <c:pt idx="0">
                  <c:v>-0.2999</c:v>
                </c:pt>
                <c:pt idx="1">
                  <c:v>-0.75839999999999996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437-45A7-AA65-6DF46DD8BFC5}"/>
            </c:ext>
          </c:extLst>
        </c:ser>
        <c:ser>
          <c:idx val="9"/>
          <c:order val="3"/>
          <c:spPr>
            <a:ln w="12700">
              <a:solidFill>
                <a:srgbClr val="0070C0"/>
              </a:solidFill>
              <a:tailEnd type="stealth"/>
            </a:ln>
          </c:spPr>
          <c:marker>
            <c:symbol val="none"/>
          </c:marker>
          <c:xVal>
            <c:numRef>
              <c:f>Plot!$R$24:$S$24</c:f>
              <c:numCache>
                <c:formatCode>0.0</c:formatCode>
                <c:ptCount val="2"/>
                <c:pt idx="0">
                  <c:v>0.6584000000000001</c:v>
                </c:pt>
                <c:pt idx="1">
                  <c:v>-1.0399999999999854E-2</c:v>
                </c:pt>
              </c:numCache>
            </c:numRef>
          </c:xVal>
          <c:yVal>
            <c:numRef>
              <c:f>Plot!$R$25:$S$25</c:f>
              <c:numCache>
                <c:formatCode>0.0</c:formatCode>
                <c:ptCount val="2"/>
                <c:pt idx="0">
                  <c:v>-0.75839999999999996</c:v>
                </c:pt>
                <c:pt idx="1">
                  <c:v>-0.38769999999999999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437-45A7-AA65-6DF46DD8B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32928"/>
        <c:axId val="170731392"/>
      </c:scatterChart>
      <c:valAx>
        <c:axId val="170731392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2928"/>
        <c:crosses val="autoZero"/>
        <c:crossBetween val="midCat"/>
      </c:valAx>
      <c:valAx>
        <c:axId val="170732928"/>
        <c:scaling>
          <c:orientation val="minMax"/>
          <c:max val="1"/>
          <c:min val="-1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1392"/>
        <c:crosses val="autoZero"/>
        <c:crossBetween val="midCat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4"/>
          <c:spPr>
            <a:noFill/>
            <a:ln>
              <a:solidFill>
                <a:schemeClr val="bg1">
                  <a:lumMod val="7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D-47CA-8631-37CFB47E128F}"/>
            </c:ext>
          </c:extLst>
        </c:ser>
        <c:ser>
          <c:idx val="1"/>
          <c:order val="5"/>
          <c:spPr>
            <a:noFill/>
            <a:ln>
              <a:solidFill>
                <a:schemeClr val="bg1">
                  <a:lumMod val="7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Polar!$C$2:$C$25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7D-47CA-8631-37CFB47E128F}"/>
            </c:ext>
          </c:extLst>
        </c:ser>
        <c:ser>
          <c:idx val="2"/>
          <c:order val="6"/>
          <c:spPr>
            <a:noFill/>
            <a:ln>
              <a:solidFill>
                <a:schemeClr val="bg1">
                  <a:lumMod val="7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Polar!$D$2:$D$25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7D-47CA-8631-37CFB47E128F}"/>
            </c:ext>
          </c:extLst>
        </c:ser>
        <c:ser>
          <c:idx val="3"/>
          <c:order val="7"/>
          <c:spPr>
            <a:noFill/>
            <a:ln>
              <a:solidFill>
                <a:schemeClr val="bg1">
                  <a:lumMod val="7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Polar!$E$2:$E$25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7D-47CA-8631-37CFB47E128F}"/>
            </c:ext>
          </c:extLst>
        </c:ser>
        <c:ser>
          <c:idx val="4"/>
          <c:order val="8"/>
          <c:spPr>
            <a:noFill/>
            <a:ln>
              <a:solidFill>
                <a:schemeClr val="bg1">
                  <a:lumMod val="7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Polar!$F$2:$F$25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7D-47CA-8631-37CFB47E128F}"/>
            </c:ext>
          </c:extLst>
        </c:ser>
        <c:ser>
          <c:idx val="5"/>
          <c:order val="9"/>
          <c:spPr>
            <a:noFill/>
            <a:ln>
              <a:solidFill>
                <a:schemeClr val="bg1">
                  <a:lumMod val="7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Polar!$G$2:$G$25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7D-47CA-8631-37CFB47E128F}"/>
            </c:ext>
          </c:extLst>
        </c:ser>
        <c:ser>
          <c:idx val="6"/>
          <c:order val="10"/>
          <c:spPr>
            <a:noFill/>
            <a:ln>
              <a:solidFill>
                <a:schemeClr val="bg1">
                  <a:lumMod val="7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Polar!$H$2:$H$25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7D-47CA-8631-37CFB47E128F}"/>
            </c:ext>
          </c:extLst>
        </c:ser>
        <c:ser>
          <c:idx val="7"/>
          <c:order val="11"/>
          <c:spPr>
            <a:noFill/>
            <a:ln>
              <a:solidFill>
                <a:schemeClr val="bg1">
                  <a:lumMod val="7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Polar!$I$2:$I$25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7D-47CA-8631-37CFB47E128F}"/>
            </c:ext>
          </c:extLst>
        </c:ser>
        <c:ser>
          <c:idx val="8"/>
          <c:order val="12"/>
          <c:spPr>
            <a:noFill/>
            <a:ln>
              <a:solidFill>
                <a:schemeClr val="bg1">
                  <a:lumMod val="75000"/>
                </a:schemeClr>
              </a:solidFill>
            </a:ln>
          </c:spPr>
          <c:cat>
            <c:numRef>
              <c:f>Polar!$B$38:$C$38</c:f>
              <c:numCache>
                <c:formatCode>General</c:formatCode>
                <c:ptCount val="2"/>
                <c:pt idx="0">
                  <c:v>0</c:v>
                </c:pt>
                <c:pt idx="1">
                  <c:v>0.41690158203685901</c:v>
                </c:pt>
              </c:numCache>
            </c:numRef>
          </c:cat>
          <c:val>
            <c:numRef>
              <c:f>Polar!$J$2:$J$25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7D-47CA-8631-37CFB47E1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catterChart>
        <c:scatterStyle val="smoothMarker"/>
        <c:varyColors val="0"/>
        <c:ser>
          <c:idx val="12"/>
          <c:order val="0"/>
          <c:tx>
            <c:strRef>
              <c:f>Plot!$D$56</c:f>
              <c:strCache>
                <c:ptCount val="1"/>
                <c:pt idx="0">
                  <c:v>C1</c:v>
                </c:pt>
              </c:strCache>
            </c:strRef>
          </c:tx>
          <c:spPr>
            <a:ln>
              <a:solidFill>
                <a:srgbClr val="7030A0"/>
              </a:solidFill>
              <a:tailEnd type="stealth"/>
            </a:ln>
          </c:spPr>
          <c:marker>
            <c:symbol val="none"/>
          </c:marker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7030A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67D-47CA-8631-37CFB47E128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Plot!$C$57:$D$57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-0.37840000000000001</c:v>
                </c:pt>
              </c:numCache>
            </c:numRef>
          </c:xVal>
          <c:yVal>
            <c:numRef>
              <c:f>Plot!$C$58:$D$58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0.59289999999999998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67D-47CA-8631-37CFB47E128F}"/>
            </c:ext>
          </c:extLst>
        </c:ser>
        <c:ser>
          <c:idx val="13"/>
          <c:order val="1"/>
          <c:tx>
            <c:strRef>
              <c:f>Plot!$F$56</c:f>
              <c:strCache>
                <c:ptCount val="1"/>
                <c:pt idx="0">
                  <c:v>C2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tailEnd type="stealth"/>
            </a:ln>
          </c:spPr>
          <c:marker>
            <c:symbol val="none"/>
          </c:marker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67D-47CA-8631-37CFB47E128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Plot!$E$57:$F$57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-0.28689999999999999</c:v>
                </c:pt>
              </c:numCache>
            </c:numRef>
          </c:xVal>
          <c:yVal>
            <c:numRef>
              <c:f>Plot!$E$58:$F$58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-9.2899999999999996E-2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67D-47CA-8631-37CFB47E128F}"/>
            </c:ext>
          </c:extLst>
        </c:ser>
        <c:ser>
          <c:idx val="10"/>
          <c:order val="2"/>
          <c:tx>
            <c:v>C</c:v>
          </c:tx>
          <c:spPr>
            <a:ln w="12700">
              <a:solidFill>
                <a:srgbClr val="0070C0"/>
              </a:solidFill>
              <a:tailEnd type="stealth"/>
            </a:ln>
          </c:spPr>
          <c:marker>
            <c:symbol val="none"/>
          </c:marker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67D-47CA-8631-37CFB47E128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Plot!$G$24:$H$24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-0.66879999999999995</c:v>
                </c:pt>
              </c:numCache>
            </c:numRef>
          </c:xVal>
          <c:yVal>
            <c:numRef>
              <c:f>Plot!$G$25:$H$25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0.37069999999999997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67D-47CA-8631-37CFB47E128F}"/>
            </c:ext>
          </c:extLst>
        </c:ser>
        <c:ser>
          <c:idx val="9"/>
          <c:order val="3"/>
          <c:tx>
            <c:v>C0</c:v>
          </c:tx>
          <c:spPr>
            <a:ln>
              <a:solidFill>
                <a:srgbClr val="8B814F"/>
              </a:solidFill>
              <a:tailEnd type="stealth"/>
            </a:ln>
          </c:spPr>
          <c:marker>
            <c:symbol val="none"/>
          </c:marker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8B814F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67D-47CA-8631-37CFB47E128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Plot!$G$53:$H$53</c:f>
              <c:numCache>
                <c:formatCode>0.00\ "x"</c:formatCode>
                <c:ptCount val="2"/>
                <c:pt idx="0" formatCode="General">
                  <c:v>0</c:v>
                </c:pt>
                <c:pt idx="1">
                  <c:v>-3.5000000000000001E-3</c:v>
                </c:pt>
              </c:numCache>
            </c:numRef>
          </c:xVal>
          <c:yVal>
            <c:numRef>
              <c:f>Plot!$G$54:$H$54</c:f>
              <c:numCache>
                <c:formatCode>0.00\ "y"</c:formatCode>
                <c:ptCount val="2"/>
                <c:pt idx="0" formatCode="General">
                  <c:v>0</c:v>
                </c:pt>
                <c:pt idx="1">
                  <c:v>-0.12920000000000001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B67D-47CA-8631-37CFB47E1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32928"/>
        <c:axId val="170731392"/>
      </c:scatterChart>
      <c:valAx>
        <c:axId val="170731392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2928"/>
        <c:crosses val="autoZero"/>
        <c:crossBetween val="midCat"/>
      </c:valAx>
      <c:valAx>
        <c:axId val="170732928"/>
        <c:scaling>
          <c:orientation val="minMax"/>
          <c:max val="1"/>
          <c:min val="-1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70731392"/>
        <c:crosses val="autoZero"/>
        <c:crossBetween val="midCat"/>
      </c:valAx>
      <c:spPr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c:spPr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>
      <a:solidFill>
        <a:schemeClr val="tx2">
          <a:lumMod val="40000"/>
          <a:lumOff val="6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9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hyperlink" Target="http://rodhughesconsulting.com/" TargetMode="Externa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10" Type="http://schemas.openxmlformats.org/officeDocument/2006/relationships/image" Target="../media/image2.png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40297</xdr:colOff>
      <xdr:row>7</xdr:row>
      <xdr:rowOff>57149</xdr:rowOff>
    </xdr:from>
    <xdr:to>
      <xdr:col>3</xdr:col>
      <xdr:colOff>658120</xdr:colOff>
      <xdr:row>7</xdr:row>
      <xdr:rowOff>2037149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16D551-7E8D-4CD8-931E-6A509AF5104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125329</xdr:colOff>
      <xdr:row>7</xdr:row>
      <xdr:rowOff>57149</xdr:rowOff>
    </xdr:from>
    <xdr:to>
      <xdr:col>7</xdr:col>
      <xdr:colOff>661216</xdr:colOff>
      <xdr:row>7</xdr:row>
      <xdr:rowOff>2037149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97C29BA-173A-49EB-A585-1993BA479DB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59295</xdr:colOff>
      <xdr:row>7</xdr:row>
      <xdr:rowOff>57149</xdr:rowOff>
    </xdr:from>
    <xdr:to>
      <xdr:col>11</xdr:col>
      <xdr:colOff>677118</xdr:colOff>
      <xdr:row>7</xdr:row>
      <xdr:rowOff>2037149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C75DE8C-F2A7-4630-9B83-2F9CB67DA4B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75198</xdr:colOff>
      <xdr:row>7</xdr:row>
      <xdr:rowOff>57149</xdr:rowOff>
    </xdr:from>
    <xdr:to>
      <xdr:col>15</xdr:col>
      <xdr:colOff>693021</xdr:colOff>
      <xdr:row>7</xdr:row>
      <xdr:rowOff>2037149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79A82D3-B562-4419-8B05-C8CC11C4772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45119</xdr:colOff>
      <xdr:row>7</xdr:row>
      <xdr:rowOff>57149</xdr:rowOff>
    </xdr:from>
    <xdr:to>
      <xdr:col>19</xdr:col>
      <xdr:colOff>662941</xdr:colOff>
      <xdr:row>7</xdr:row>
      <xdr:rowOff>2037149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80D3104-913A-42A1-A867-559F3CA4CD0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194243</xdr:colOff>
      <xdr:row>16</xdr:row>
      <xdr:rowOff>20484</xdr:rowOff>
    </xdr:from>
    <xdr:to>
      <xdr:col>7</xdr:col>
      <xdr:colOff>550130</xdr:colOff>
      <xdr:row>16</xdr:row>
      <xdr:rowOff>1820484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591858CB-0A5F-4429-845B-742FAFC4C10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644133</xdr:colOff>
      <xdr:row>16</xdr:row>
      <xdr:rowOff>20484</xdr:rowOff>
    </xdr:from>
    <xdr:to>
      <xdr:col>11</xdr:col>
      <xdr:colOff>201150</xdr:colOff>
      <xdr:row>16</xdr:row>
      <xdr:rowOff>1820484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1538CDDC-A2F7-4566-BA16-AB9AAED7FEE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122903</xdr:colOff>
      <xdr:row>16</xdr:row>
      <xdr:rowOff>20484</xdr:rowOff>
    </xdr:from>
    <xdr:to>
      <xdr:col>3</xdr:col>
      <xdr:colOff>376371</xdr:colOff>
      <xdr:row>16</xdr:row>
      <xdr:rowOff>1820484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333A47E1-35DE-420F-BBC8-070B1662457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18</xdr:col>
      <xdr:colOff>598843</xdr:colOff>
      <xdr:row>0</xdr:row>
      <xdr:rowOff>109141</xdr:rowOff>
    </xdr:from>
    <xdr:to>
      <xdr:col>19</xdr:col>
      <xdr:colOff>636501</xdr:colOff>
      <xdr:row>5</xdr:row>
      <xdr:rowOff>138907</xdr:rowOff>
    </xdr:to>
    <xdr:pic>
      <xdr:nvPicPr>
        <xdr:cNvPr id="4" name="Picture 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ABB3B15-85D0-46F9-AE53-66922DBB3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0952" y="109141"/>
          <a:ext cx="950471" cy="972344"/>
        </a:xfrm>
        <a:prstGeom prst="rect">
          <a:avLst/>
        </a:prstGeom>
      </xdr:spPr>
    </xdr:pic>
    <xdr:clientData/>
  </xdr:twoCellAnchor>
  <xdr:twoCellAnchor>
    <xdr:from>
      <xdr:col>11</xdr:col>
      <xdr:colOff>290763</xdr:colOff>
      <xdr:row>16</xdr:row>
      <xdr:rowOff>20052</xdr:rowOff>
    </xdr:from>
    <xdr:to>
      <xdr:col>14</xdr:col>
      <xdr:colOff>759812</xdr:colOff>
      <xdr:row>16</xdr:row>
      <xdr:rowOff>1820052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DF4E06A-5537-48A2-881F-482FE79B3E9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0.0596</cdr:x>
      <cdr:y>0.05214</cdr:y>
    </cdr:from>
    <cdr:to>
      <cdr:x>0.93351</cdr:x>
      <cdr:y>0.92604</cdr:y>
    </cdr:to>
    <cdr:sp macro="" textlink="">
      <cdr:nvSpPr>
        <cdr:cNvPr id="2" name="Arc 1">
          <a:extLst xmlns:a="http://schemas.openxmlformats.org/drawingml/2006/main">
            <a:ext uri="{FF2B5EF4-FFF2-40B4-BE49-F238E27FC236}">
              <a16:creationId xmlns:a16="http://schemas.microsoft.com/office/drawing/2014/main" id="{A0F24112-2256-4FF4-83FE-714E2A96D4CE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150203" y="131394"/>
          <a:ext cx="2202232" cy="2202232"/>
        </a:xfrm>
        <a:prstGeom xmlns:a="http://schemas.openxmlformats.org/drawingml/2006/main" prst="arc">
          <a:avLst>
            <a:gd name="adj1" fmla="val 18144629"/>
            <a:gd name="adj2" fmla="val 19509392"/>
          </a:avLst>
        </a:prstGeom>
        <a:ln xmlns:a="http://schemas.openxmlformats.org/drawingml/2006/main">
          <a:solidFill>
            <a:schemeClr val="tx1"/>
          </a:solidFill>
          <a:head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0.00291</cdr:x>
      <cdr:y>0</cdr:y>
    </cdr:from>
    <cdr:to>
      <cdr:x>0.51476</cdr:x>
      <cdr:y>0.11805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BB02DC0A-7BBA-4776-8CC6-7971FEDB4FF6}"/>
            </a:ext>
          </a:extLst>
        </cdr:cNvPr>
        <cdr:cNvSpPr txBox="1"/>
      </cdr:nvSpPr>
      <cdr:spPr>
        <a:xfrm xmlns:a="http://schemas.openxmlformats.org/drawingml/2006/main">
          <a:off x="5220" y="0"/>
          <a:ext cx="918200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800">
              <a:latin typeface="Consolas" panose="020B0609020204030204" pitchFamily="49" charset="0"/>
            </a:rPr>
            <a:t>C phase P,N,Z</a:t>
          </a:r>
        </a:p>
      </cdr:txBody>
    </cdr:sp>
  </cdr:relSizeAnchor>
  <cdr:relSizeAnchor xmlns:cdr="http://schemas.openxmlformats.org/drawingml/2006/chartDrawing">
    <cdr:from>
      <cdr:x>0</cdr:x>
      <cdr:y>0.85302</cdr:y>
    </cdr:from>
    <cdr:to>
      <cdr:x>0.17504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FC32921-85C1-4CC1-BE59-FFC99465FBF9}"/>
            </a:ext>
          </a:extLst>
        </cdr:cNvPr>
        <cdr:cNvSpPr txBox="1"/>
      </cdr:nvSpPr>
      <cdr:spPr>
        <a:xfrm xmlns:a="http://schemas.openxmlformats.org/drawingml/2006/main">
          <a:off x="0" y="1535440"/>
          <a:ext cx="315048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7030A0"/>
              </a:solidFill>
            </a:rPr>
            <a:t>C</a:t>
          </a:r>
          <a:r>
            <a:rPr lang="en-US" sz="1100" baseline="-25000">
              <a:solidFill>
                <a:srgbClr val="7030A0"/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0.41136</cdr:x>
      <cdr:y>0.85302</cdr:y>
    </cdr:from>
    <cdr:to>
      <cdr:x>0.58639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B7F5F19-0918-4B9D-82E3-630F7A621BF1}"/>
            </a:ext>
          </a:extLst>
        </cdr:cNvPr>
        <cdr:cNvSpPr txBox="1"/>
      </cdr:nvSpPr>
      <cdr:spPr>
        <a:xfrm xmlns:a="http://schemas.openxmlformats.org/drawingml/2006/main">
          <a:off x="740399" y="1535440"/>
          <a:ext cx="315049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accent6">
                  <a:lumMod val="75000"/>
                </a:schemeClr>
              </a:solidFill>
            </a:rPr>
            <a:t>C</a:t>
          </a:r>
          <a:r>
            <a:rPr lang="en-US" sz="1100" baseline="-25000">
              <a:solidFill>
                <a:schemeClr val="accent6">
                  <a:lumMod val="75000"/>
                </a:schemeClr>
              </a:solidFill>
            </a:rPr>
            <a:t>2</a:t>
          </a:r>
        </a:p>
      </cdr:txBody>
    </cdr:sp>
  </cdr:relSizeAnchor>
  <cdr:relSizeAnchor xmlns:cdr="http://schemas.openxmlformats.org/drawingml/2006/chartDrawing">
    <cdr:from>
      <cdr:x>0.82555</cdr:x>
      <cdr:y>0.85302</cdr:y>
    </cdr:from>
    <cdr:to>
      <cdr:x>0.9968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181E30E-8205-47F1-8054-3972889A79EF}"/>
            </a:ext>
          </a:extLst>
        </cdr:cNvPr>
        <cdr:cNvSpPr txBox="1"/>
      </cdr:nvSpPr>
      <cdr:spPr>
        <a:xfrm xmlns:a="http://schemas.openxmlformats.org/drawingml/2006/main">
          <a:off x="1490196" y="1535436"/>
          <a:ext cx="309124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aseline="0">
              <a:solidFill>
                <a:srgbClr val="8B814F"/>
              </a:solidFill>
            </a:rPr>
            <a:t>C</a:t>
          </a:r>
          <a:r>
            <a:rPr lang="en-US" sz="1100" baseline="-25000">
              <a:solidFill>
                <a:srgbClr val="8B814F"/>
              </a:solidFill>
            </a:rPr>
            <a:t>0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40297</xdr:colOff>
      <xdr:row>7</xdr:row>
      <xdr:rowOff>57149</xdr:rowOff>
    </xdr:from>
    <xdr:to>
      <xdr:col>3</xdr:col>
      <xdr:colOff>658120</xdr:colOff>
      <xdr:row>7</xdr:row>
      <xdr:rowOff>2037149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F5E9D8-6999-4CFD-96F6-8A1D3B8FBF1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125329</xdr:colOff>
      <xdr:row>7</xdr:row>
      <xdr:rowOff>57149</xdr:rowOff>
    </xdr:from>
    <xdr:to>
      <xdr:col>7</xdr:col>
      <xdr:colOff>661216</xdr:colOff>
      <xdr:row>7</xdr:row>
      <xdr:rowOff>2037149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83F3A6-A17D-4F15-8701-96D1448C8C4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59295</xdr:colOff>
      <xdr:row>7</xdr:row>
      <xdr:rowOff>57149</xdr:rowOff>
    </xdr:from>
    <xdr:to>
      <xdr:col>11</xdr:col>
      <xdr:colOff>677118</xdr:colOff>
      <xdr:row>7</xdr:row>
      <xdr:rowOff>2037149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F898E75-DDFF-4ECB-B3B4-F075995103A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75198</xdr:colOff>
      <xdr:row>7</xdr:row>
      <xdr:rowOff>57149</xdr:rowOff>
    </xdr:from>
    <xdr:to>
      <xdr:col>15</xdr:col>
      <xdr:colOff>693021</xdr:colOff>
      <xdr:row>7</xdr:row>
      <xdr:rowOff>2037149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169967C-159F-4085-9DDA-2305D26FF02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45119</xdr:colOff>
      <xdr:row>7</xdr:row>
      <xdr:rowOff>57149</xdr:rowOff>
    </xdr:from>
    <xdr:to>
      <xdr:col>19</xdr:col>
      <xdr:colOff>662941</xdr:colOff>
      <xdr:row>7</xdr:row>
      <xdr:rowOff>2037149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49E511-CE9D-4287-A367-40050FEB6F6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194243</xdr:colOff>
      <xdr:row>16</xdr:row>
      <xdr:rowOff>20484</xdr:rowOff>
    </xdr:from>
    <xdr:to>
      <xdr:col>7</xdr:col>
      <xdr:colOff>550130</xdr:colOff>
      <xdr:row>16</xdr:row>
      <xdr:rowOff>1820484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0C350CF-E8D0-4E2D-9FD6-0F567E00736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644133</xdr:colOff>
      <xdr:row>16</xdr:row>
      <xdr:rowOff>20484</xdr:rowOff>
    </xdr:from>
    <xdr:to>
      <xdr:col>11</xdr:col>
      <xdr:colOff>201150</xdr:colOff>
      <xdr:row>16</xdr:row>
      <xdr:rowOff>1820484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F42B217-F52B-4BB8-8CBB-62A084FF6C7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295154</xdr:colOff>
      <xdr:row>16</xdr:row>
      <xdr:rowOff>20484</xdr:rowOff>
    </xdr:from>
    <xdr:to>
      <xdr:col>14</xdr:col>
      <xdr:colOff>763702</xdr:colOff>
      <xdr:row>16</xdr:row>
      <xdr:rowOff>1820484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28CFDD2-0B2E-4C02-8948-C1BAA7D5460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122903</xdr:colOff>
      <xdr:row>16</xdr:row>
      <xdr:rowOff>20484</xdr:rowOff>
    </xdr:from>
    <xdr:to>
      <xdr:col>3</xdr:col>
      <xdr:colOff>376371</xdr:colOff>
      <xdr:row>16</xdr:row>
      <xdr:rowOff>1820484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1CDE7F5-5195-491E-B9CB-25609AC5F36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18</xdr:col>
      <xdr:colOff>598843</xdr:colOff>
      <xdr:row>0</xdr:row>
      <xdr:rowOff>109141</xdr:rowOff>
    </xdr:from>
    <xdr:to>
      <xdr:col>19</xdr:col>
      <xdr:colOff>569826</xdr:colOff>
      <xdr:row>5</xdr:row>
      <xdr:rowOff>138907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A4D8EB1-E43A-4211-9D0B-62A84B689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4843" y="109141"/>
          <a:ext cx="952058" cy="982266"/>
        </a:xfrm>
        <a:prstGeom prst="rect">
          <a:avLst/>
        </a:prstGeom>
      </xdr:spPr>
    </xdr:pic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0.0596</cdr:x>
      <cdr:y>0.05214</cdr:y>
    </cdr:from>
    <cdr:to>
      <cdr:x>0.93351</cdr:x>
      <cdr:y>0.92604</cdr:y>
    </cdr:to>
    <cdr:sp macro="" textlink="">
      <cdr:nvSpPr>
        <cdr:cNvPr id="2" name="Arc 1">
          <a:extLst xmlns:a="http://schemas.openxmlformats.org/drawingml/2006/main">
            <a:ext uri="{FF2B5EF4-FFF2-40B4-BE49-F238E27FC236}">
              <a16:creationId xmlns:a16="http://schemas.microsoft.com/office/drawing/2014/main" id="{A0F24112-2256-4FF4-83FE-714E2A96D4CE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150203" y="131394"/>
          <a:ext cx="2202232" cy="2202232"/>
        </a:xfrm>
        <a:prstGeom xmlns:a="http://schemas.openxmlformats.org/drawingml/2006/main" prst="arc">
          <a:avLst>
            <a:gd name="adj1" fmla="val 18144629"/>
            <a:gd name="adj2" fmla="val 19509392"/>
          </a:avLst>
        </a:prstGeom>
        <a:ln xmlns:a="http://schemas.openxmlformats.org/drawingml/2006/main">
          <a:solidFill>
            <a:schemeClr val="tx1"/>
          </a:solidFill>
          <a:head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0.00291</cdr:x>
      <cdr:y>0</cdr:y>
    </cdr:from>
    <cdr:to>
      <cdr:x>0.25532</cdr:x>
      <cdr:y>0.13201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BB02DC0A-7BBA-4776-8CC6-7971FEDB4FF6}"/>
            </a:ext>
          </a:extLst>
        </cdr:cNvPr>
        <cdr:cNvSpPr txBox="1"/>
      </cdr:nvSpPr>
      <cdr:spPr>
        <a:xfrm xmlns:a="http://schemas.openxmlformats.org/drawingml/2006/main">
          <a:off x="7327" y="0"/>
          <a:ext cx="636072" cy="332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800">
              <a:latin typeface="Consolas" panose="020B0609020204030204" pitchFamily="49" charset="0"/>
            </a:rPr>
            <a:t>Actual</a:t>
          </a:r>
        </a:p>
        <a:p xmlns:a="http://schemas.openxmlformats.org/drawingml/2006/main">
          <a:r>
            <a:rPr lang="en-US" sz="800">
              <a:latin typeface="Consolas" panose="020B0609020204030204" pitchFamily="49" charset="0"/>
            </a:rPr>
            <a:t>Per Unit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0.0596</cdr:x>
      <cdr:y>0.05214</cdr:y>
    </cdr:from>
    <cdr:to>
      <cdr:x>0.93351</cdr:x>
      <cdr:y>0.92604</cdr:y>
    </cdr:to>
    <cdr:sp macro="" textlink="">
      <cdr:nvSpPr>
        <cdr:cNvPr id="2" name="Arc 1">
          <a:extLst xmlns:a="http://schemas.openxmlformats.org/drawingml/2006/main">
            <a:ext uri="{FF2B5EF4-FFF2-40B4-BE49-F238E27FC236}">
              <a16:creationId xmlns:a16="http://schemas.microsoft.com/office/drawing/2014/main" id="{A0F24112-2256-4FF4-83FE-714E2A96D4CE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150203" y="131394"/>
          <a:ext cx="2202232" cy="2202232"/>
        </a:xfrm>
        <a:prstGeom xmlns:a="http://schemas.openxmlformats.org/drawingml/2006/main" prst="arc">
          <a:avLst>
            <a:gd name="adj1" fmla="val 18144629"/>
            <a:gd name="adj2" fmla="val 19509392"/>
          </a:avLst>
        </a:prstGeom>
        <a:ln xmlns:a="http://schemas.openxmlformats.org/drawingml/2006/main">
          <a:solidFill>
            <a:schemeClr val="tx1"/>
          </a:solidFill>
          <a:head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0.63618</cdr:x>
      <cdr:y>0.11805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BB02DC0A-7BBA-4776-8CC6-7971FEDB4FF6}"/>
            </a:ext>
          </a:extLst>
        </cdr:cNvPr>
        <cdr:cNvSpPr txBox="1"/>
      </cdr:nvSpPr>
      <cdr:spPr>
        <a:xfrm xmlns:a="http://schemas.openxmlformats.org/drawingml/2006/main">
          <a:off x="0" y="0"/>
          <a:ext cx="1143903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800">
              <a:latin typeface="Consolas" panose="020B0609020204030204" pitchFamily="49" charset="0"/>
            </a:rPr>
            <a:t>Positive Sequence</a:t>
          </a:r>
        </a:p>
      </cdr:txBody>
    </cdr:sp>
  </cdr:relSizeAnchor>
  <cdr:relSizeAnchor xmlns:cdr="http://schemas.openxmlformats.org/drawingml/2006/chartDrawing">
    <cdr:from>
      <cdr:x>0</cdr:x>
      <cdr:y>0.89268</cdr:y>
    </cdr:from>
    <cdr:to>
      <cdr:x>0.3491</cdr:x>
      <cdr:y>1</cdr:y>
    </cdr:to>
    <cdr:sp macro="" textlink="A1m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29D417D-38D2-4A4C-AD8E-88C4A1BFA3BC}"/>
            </a:ext>
          </a:extLst>
        </cdr:cNvPr>
        <cdr:cNvSpPr txBox="1"/>
      </cdr:nvSpPr>
      <cdr:spPr>
        <a:xfrm xmlns:a="http://schemas.openxmlformats.org/drawingml/2006/main">
          <a:off x="0" y="1767506"/>
          <a:ext cx="692497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fld id="{E7E48437-4441-4102-BEF5-15920481D386}" type="TxLink">
            <a:rPr lang="en-US" sz="800" b="0" i="0" u="none" strike="noStrike">
              <a:solidFill>
                <a:srgbClr val="000000"/>
              </a:solidFill>
              <a:latin typeface="Consolas" panose="020B0609020204030204" pitchFamily="49" charset="0"/>
              <a:ea typeface="Tahoma"/>
              <a:cs typeface="Tahoma"/>
            </a:rPr>
            <a:pPr/>
            <a:t>0.70 p.u.</a:t>
          </a:fld>
          <a:endParaRPr lang="en-US" sz="800">
            <a:latin typeface="Consolas" panose="020B0609020204030204" pitchFamily="49" charset="0"/>
          </a:endParaRPr>
        </a:p>
      </cdr:txBody>
    </cdr:sp>
  </cdr:relSizeAnchor>
  <cdr:relSizeAnchor xmlns:cdr="http://schemas.openxmlformats.org/drawingml/2006/chartDrawing">
    <cdr:from>
      <cdr:x>0.70779</cdr:x>
      <cdr:y>0.89268</cdr:y>
    </cdr:from>
    <cdr:to>
      <cdr:x>1</cdr:x>
      <cdr:y>1</cdr:y>
    </cdr:to>
    <cdr:sp macro="" textlink="Analysis!$F$15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EEF4121-B5A8-412A-957B-170BA17A7AD0}"/>
            </a:ext>
          </a:extLst>
        </cdr:cNvPr>
        <cdr:cNvSpPr txBox="1"/>
      </cdr:nvSpPr>
      <cdr:spPr>
        <a:xfrm xmlns:a="http://schemas.openxmlformats.org/drawingml/2006/main">
          <a:off x="1404041" y="1767506"/>
          <a:ext cx="579646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pPr algn="r"/>
          <a:fld id="{BB24A1EB-D7DE-4F7D-B426-73E0077DB22C}" type="TxLink">
            <a:rPr lang="en-US" sz="800" b="0" i="0" u="none" strike="noStrike">
              <a:solidFill>
                <a:srgbClr val="000000"/>
              </a:solidFill>
              <a:latin typeface="Consolas" panose="020B0609020204030204" pitchFamily="49" charset="0"/>
              <a:ea typeface="Tahoma"/>
              <a:cs typeface="Tahoma"/>
            </a:rPr>
            <a:pPr algn="r"/>
            <a:t>119.6 A</a:t>
          </a:fld>
          <a:endParaRPr lang="en-US" sz="800">
            <a:latin typeface="Consolas" panose="020B0609020204030204" pitchFamily="49" charset="0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0.0596</cdr:x>
      <cdr:y>0.05214</cdr:y>
    </cdr:from>
    <cdr:to>
      <cdr:x>0.93351</cdr:x>
      <cdr:y>0.92604</cdr:y>
    </cdr:to>
    <cdr:sp macro="" textlink="">
      <cdr:nvSpPr>
        <cdr:cNvPr id="2" name="Arc 1">
          <a:extLst xmlns:a="http://schemas.openxmlformats.org/drawingml/2006/main">
            <a:ext uri="{FF2B5EF4-FFF2-40B4-BE49-F238E27FC236}">
              <a16:creationId xmlns:a16="http://schemas.microsoft.com/office/drawing/2014/main" id="{A0F24112-2256-4FF4-83FE-714E2A96D4CE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150203" y="131394"/>
          <a:ext cx="2202232" cy="2202232"/>
        </a:xfrm>
        <a:prstGeom xmlns:a="http://schemas.openxmlformats.org/drawingml/2006/main" prst="arc">
          <a:avLst>
            <a:gd name="adj1" fmla="val 18144629"/>
            <a:gd name="adj2" fmla="val 19509392"/>
          </a:avLst>
        </a:prstGeom>
        <a:ln xmlns:a="http://schemas.openxmlformats.org/drawingml/2006/main">
          <a:solidFill>
            <a:schemeClr val="tx1"/>
          </a:solidFill>
          <a:head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0.63618</cdr:x>
      <cdr:y>0.11805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BB02DC0A-7BBA-4776-8CC6-7971FEDB4FF6}"/>
            </a:ext>
          </a:extLst>
        </cdr:cNvPr>
        <cdr:cNvSpPr txBox="1"/>
      </cdr:nvSpPr>
      <cdr:spPr>
        <a:xfrm xmlns:a="http://schemas.openxmlformats.org/drawingml/2006/main">
          <a:off x="0" y="0"/>
          <a:ext cx="1143903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800">
              <a:latin typeface="Consolas" panose="020B0609020204030204" pitchFamily="49" charset="0"/>
            </a:rPr>
            <a:t>Negative Sequence</a:t>
          </a:r>
        </a:p>
      </cdr:txBody>
    </cdr:sp>
  </cdr:relSizeAnchor>
  <cdr:relSizeAnchor xmlns:cdr="http://schemas.openxmlformats.org/drawingml/2006/chartDrawing">
    <cdr:from>
      <cdr:x>0</cdr:x>
      <cdr:y>0.89268</cdr:y>
    </cdr:from>
    <cdr:to>
      <cdr:x>0.34976</cdr:x>
      <cdr:y>1</cdr:y>
    </cdr:to>
    <cdr:sp macro="" textlink="Analysis!$K$12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29D417D-38D2-4A4C-AD8E-88C4A1BFA3BC}"/>
            </a:ext>
          </a:extLst>
        </cdr:cNvPr>
        <cdr:cNvSpPr txBox="1"/>
      </cdr:nvSpPr>
      <cdr:spPr>
        <a:xfrm xmlns:a="http://schemas.openxmlformats.org/drawingml/2006/main">
          <a:off x="0" y="1767506"/>
          <a:ext cx="692497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fld id="{B7F7198B-8230-47DA-B749-7A0B50CD316F}" type="TxLink">
            <a:rPr lang="en-US" sz="800" b="0" i="0" u="none" strike="noStrike">
              <a:solidFill>
                <a:srgbClr val="000000"/>
              </a:solidFill>
              <a:latin typeface="Consolas" panose="020B0609020204030204" pitchFamily="49" charset="0"/>
              <a:ea typeface="Tahoma"/>
              <a:cs typeface="Tahoma"/>
            </a:rPr>
            <a:pPr/>
            <a:t>0.30 p.u.</a:t>
          </a:fld>
          <a:endParaRPr lang="en-US" sz="800">
            <a:latin typeface="Consolas" panose="020B0609020204030204" pitchFamily="49" charset="0"/>
          </a:endParaRPr>
        </a:p>
      </cdr:txBody>
    </cdr:sp>
  </cdr:relSizeAnchor>
  <cdr:relSizeAnchor xmlns:cdr="http://schemas.openxmlformats.org/drawingml/2006/chartDrawing">
    <cdr:from>
      <cdr:x>0.73573</cdr:x>
      <cdr:y>0.89268</cdr:y>
    </cdr:from>
    <cdr:to>
      <cdr:x>1</cdr:x>
      <cdr:y>1</cdr:y>
    </cdr:to>
    <cdr:sp macro="" textlink="Analysis!$J$15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CEB713BD-CCA6-40FB-9BA8-A44DCA19C90D}"/>
            </a:ext>
          </a:extLst>
        </cdr:cNvPr>
        <cdr:cNvSpPr txBox="1"/>
      </cdr:nvSpPr>
      <cdr:spPr>
        <a:xfrm xmlns:a="http://schemas.openxmlformats.org/drawingml/2006/main">
          <a:off x="1456678" y="1767506"/>
          <a:ext cx="523220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pPr algn="r"/>
          <a:fld id="{9586F64A-FEE2-497B-9E2C-11616E691E98}" type="TxLink">
            <a:rPr lang="en-US" sz="800" b="0" i="0" u="none" strike="noStrike">
              <a:solidFill>
                <a:srgbClr val="000000"/>
              </a:solidFill>
              <a:latin typeface="Consolas" panose="020B0609020204030204" pitchFamily="49" charset="0"/>
              <a:ea typeface="Tahoma"/>
              <a:cs typeface="Tahoma"/>
            </a:rPr>
            <a:pPr algn="r"/>
            <a:t>51.3 A</a:t>
          </a:fld>
          <a:endParaRPr lang="en-US" sz="800">
            <a:latin typeface="Consolas" panose="020B0609020204030204" pitchFamily="49" charset="0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0.0596</cdr:x>
      <cdr:y>0.05214</cdr:y>
    </cdr:from>
    <cdr:to>
      <cdr:x>0.93351</cdr:x>
      <cdr:y>0.92604</cdr:y>
    </cdr:to>
    <cdr:sp macro="" textlink="">
      <cdr:nvSpPr>
        <cdr:cNvPr id="2" name="Arc 1">
          <a:extLst xmlns:a="http://schemas.openxmlformats.org/drawingml/2006/main">
            <a:ext uri="{FF2B5EF4-FFF2-40B4-BE49-F238E27FC236}">
              <a16:creationId xmlns:a16="http://schemas.microsoft.com/office/drawing/2014/main" id="{A0F24112-2256-4FF4-83FE-714E2A96D4CE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150203" y="131394"/>
          <a:ext cx="2202232" cy="2202232"/>
        </a:xfrm>
        <a:prstGeom xmlns:a="http://schemas.openxmlformats.org/drawingml/2006/main" prst="arc">
          <a:avLst>
            <a:gd name="adj1" fmla="val 18144629"/>
            <a:gd name="adj2" fmla="val 19509392"/>
          </a:avLst>
        </a:prstGeom>
        <a:ln xmlns:a="http://schemas.openxmlformats.org/drawingml/2006/main">
          <a:solidFill>
            <a:schemeClr val="tx1"/>
          </a:solidFill>
          <a:head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0.51066</cdr:x>
      <cdr:y>0.11805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BB02DC0A-7BBA-4776-8CC6-7971FEDB4FF6}"/>
            </a:ext>
          </a:extLst>
        </cdr:cNvPr>
        <cdr:cNvSpPr txBox="1"/>
      </cdr:nvSpPr>
      <cdr:spPr>
        <a:xfrm xmlns:a="http://schemas.openxmlformats.org/drawingml/2006/main">
          <a:off x="0" y="0"/>
          <a:ext cx="918200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800">
              <a:latin typeface="Consolas" panose="020B0609020204030204" pitchFamily="49" charset="0"/>
            </a:rPr>
            <a:t>Zero Sequence</a:t>
          </a:r>
        </a:p>
      </cdr:txBody>
    </cdr:sp>
  </cdr:relSizeAnchor>
  <cdr:relSizeAnchor xmlns:cdr="http://schemas.openxmlformats.org/drawingml/2006/chartDrawing">
    <cdr:from>
      <cdr:x>0</cdr:x>
      <cdr:y>0.89268</cdr:y>
    </cdr:from>
    <cdr:to>
      <cdr:x>0.34976</cdr:x>
      <cdr:y>1</cdr:y>
    </cdr:to>
    <cdr:sp macro="" textlink="Analysis!$O$12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29D417D-38D2-4A4C-AD8E-88C4A1BFA3BC}"/>
            </a:ext>
          </a:extLst>
        </cdr:cNvPr>
        <cdr:cNvSpPr txBox="1"/>
      </cdr:nvSpPr>
      <cdr:spPr>
        <a:xfrm xmlns:a="http://schemas.openxmlformats.org/drawingml/2006/main">
          <a:off x="0" y="1767506"/>
          <a:ext cx="692497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fld id="{EBD0FF65-87DB-40EA-A06B-AA853E2FB917}" type="TxLink">
            <a:rPr lang="en-US" sz="800" b="0" i="0" u="none" strike="noStrike">
              <a:solidFill>
                <a:srgbClr val="000000"/>
              </a:solidFill>
              <a:latin typeface="Consolas" panose="020B0609020204030204" pitchFamily="49" charset="0"/>
              <a:ea typeface="Tahoma"/>
              <a:cs typeface="Tahoma"/>
            </a:rPr>
            <a:pPr/>
            <a:t>0.13 p.u.</a:t>
          </a:fld>
          <a:endParaRPr lang="en-US" sz="800">
            <a:latin typeface="Consolas" panose="020B0609020204030204" pitchFamily="49" charset="0"/>
          </a:endParaRPr>
        </a:p>
      </cdr:txBody>
    </cdr:sp>
  </cdr:relSizeAnchor>
  <cdr:relSizeAnchor xmlns:cdr="http://schemas.openxmlformats.org/drawingml/2006/chartDrawing">
    <cdr:from>
      <cdr:x>0.79273</cdr:x>
      <cdr:y>0.89268</cdr:y>
    </cdr:from>
    <cdr:to>
      <cdr:x>1</cdr:x>
      <cdr:y>1</cdr:y>
    </cdr:to>
    <cdr:sp macro="" textlink="Analysis!$N$15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F2C8BD5A-2E2A-45D0-9D2D-E6DD56B985F9}"/>
            </a:ext>
          </a:extLst>
        </cdr:cNvPr>
        <cdr:cNvSpPr txBox="1"/>
      </cdr:nvSpPr>
      <cdr:spPr>
        <a:xfrm xmlns:a="http://schemas.openxmlformats.org/drawingml/2006/main">
          <a:off x="1569529" y="1767506"/>
          <a:ext cx="410369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pPr algn="r"/>
          <a:fld id="{2A0C7FF2-2B2A-463B-8577-82976067DEA5}" type="TxLink">
            <a:rPr lang="en-US" sz="800" b="0" i="0" u="none" strike="noStrike">
              <a:solidFill>
                <a:srgbClr val="000000"/>
              </a:solidFill>
              <a:latin typeface="Consolas" panose="020B0609020204030204" pitchFamily="49" charset="0"/>
              <a:ea typeface="Tahoma"/>
              <a:cs typeface="Tahoma"/>
            </a:rPr>
            <a:pPr algn="r"/>
            <a:t>22 A</a:t>
          </a:fld>
          <a:endParaRPr lang="en-US" sz="800">
            <a:latin typeface="Consolas" panose="020B0609020204030204" pitchFamily="49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0.0596</cdr:x>
      <cdr:y>0.05214</cdr:y>
    </cdr:from>
    <cdr:to>
      <cdr:x>0.93351</cdr:x>
      <cdr:y>0.92604</cdr:y>
    </cdr:to>
    <cdr:sp macro="" textlink="">
      <cdr:nvSpPr>
        <cdr:cNvPr id="2" name="Arc 1">
          <a:extLst xmlns:a="http://schemas.openxmlformats.org/drawingml/2006/main">
            <a:ext uri="{FF2B5EF4-FFF2-40B4-BE49-F238E27FC236}">
              <a16:creationId xmlns:a16="http://schemas.microsoft.com/office/drawing/2014/main" id="{A0F24112-2256-4FF4-83FE-714E2A96D4CE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150203" y="131394"/>
          <a:ext cx="2202232" cy="2202232"/>
        </a:xfrm>
        <a:prstGeom xmlns:a="http://schemas.openxmlformats.org/drawingml/2006/main" prst="arc">
          <a:avLst>
            <a:gd name="adj1" fmla="val 18144629"/>
            <a:gd name="adj2" fmla="val 19509392"/>
          </a:avLst>
        </a:prstGeom>
        <a:ln xmlns:a="http://schemas.openxmlformats.org/drawingml/2006/main">
          <a:solidFill>
            <a:schemeClr val="tx1"/>
          </a:solidFill>
          <a:head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0.40674</cdr:x>
      <cdr:y>0.10732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BB02DC0A-7BBA-4776-8CC6-7971FEDB4FF6}"/>
            </a:ext>
          </a:extLst>
        </cdr:cNvPr>
        <cdr:cNvSpPr txBox="1"/>
      </cdr:nvSpPr>
      <cdr:spPr>
        <a:xfrm xmlns:a="http://schemas.openxmlformats.org/drawingml/2006/main">
          <a:off x="0" y="0"/>
          <a:ext cx="805349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800">
              <a:latin typeface="Consolas" panose="020B0609020204030204" pitchFamily="49" charset="0"/>
            </a:rPr>
            <a:t>Earth Fault</a:t>
          </a:r>
          <a:endParaRPr lang="en-US" sz="800" baseline="-25000">
            <a:latin typeface="Consolas" panose="020B0609020204030204" pitchFamily="49" charset="0"/>
          </a:endParaRPr>
        </a:p>
      </cdr:txBody>
    </cdr:sp>
  </cdr:relSizeAnchor>
  <cdr:relSizeAnchor xmlns:cdr="http://schemas.openxmlformats.org/drawingml/2006/chartDrawing">
    <cdr:from>
      <cdr:x>0</cdr:x>
      <cdr:y>0.89268</cdr:y>
    </cdr:from>
    <cdr:to>
      <cdr:x>0.37826</cdr:x>
      <cdr:y>1</cdr:y>
    </cdr:to>
    <cdr:sp macro="" textlink="Analysis!$S$12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29D417D-38D2-4A4C-AD8E-88C4A1BFA3BC}"/>
            </a:ext>
          </a:extLst>
        </cdr:cNvPr>
        <cdr:cNvSpPr txBox="1"/>
      </cdr:nvSpPr>
      <cdr:spPr>
        <a:xfrm xmlns:a="http://schemas.openxmlformats.org/drawingml/2006/main">
          <a:off x="0" y="1767506"/>
          <a:ext cx="748923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fld id="{910B5BDD-D8F0-4C84-94FD-2704CB857D7A}" type="TxLink">
            <a:rPr lang="en-US" sz="800" b="0" i="0" u="none" strike="noStrike">
              <a:solidFill>
                <a:srgbClr val="000000"/>
              </a:solidFill>
              <a:latin typeface="Consolas" panose="020B0609020204030204" pitchFamily="49" charset="0"/>
              <a:ea typeface="Tahoma"/>
              <a:cs typeface="Tahoma"/>
            </a:rPr>
            <a:pPr/>
            <a:t>0.388 p.u.</a:t>
          </a:fld>
          <a:endParaRPr lang="en-US" sz="800">
            <a:latin typeface="Consolas" panose="020B0609020204030204" pitchFamily="49" charset="0"/>
          </a:endParaRPr>
        </a:p>
      </cdr:txBody>
    </cdr:sp>
  </cdr:relSizeAnchor>
  <cdr:relSizeAnchor xmlns:cdr="http://schemas.openxmlformats.org/drawingml/2006/chartDrawing">
    <cdr:from>
      <cdr:x>0.73573</cdr:x>
      <cdr:y>0.89268</cdr:y>
    </cdr:from>
    <cdr:to>
      <cdr:x>1</cdr:x>
      <cdr:y>1</cdr:y>
    </cdr:to>
    <cdr:sp macro="" textlink="Analysis!$T$15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9650D64B-1267-475A-9F0A-D40F11FD32FB}"/>
            </a:ext>
          </a:extLst>
        </cdr:cNvPr>
        <cdr:cNvSpPr txBox="1"/>
      </cdr:nvSpPr>
      <cdr:spPr>
        <a:xfrm xmlns:a="http://schemas.openxmlformats.org/drawingml/2006/main">
          <a:off x="1456676" y="1767506"/>
          <a:ext cx="523221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pPr algn="r"/>
          <a:fld id="{CA166903-3EC7-43AB-B023-511CA9AD7ED0}" type="TxLink">
            <a:rPr lang="en-US" sz="800" b="0" i="0" u="none" strike="noStrike">
              <a:solidFill>
                <a:srgbClr val="000000"/>
              </a:solidFill>
              <a:latin typeface="Consolas" panose="020B0609020204030204" pitchFamily="49" charset="0"/>
              <a:ea typeface="Tahoma"/>
              <a:cs typeface="Tahoma"/>
            </a:rPr>
            <a:pPr algn="r"/>
            <a:t>65.9 A</a:t>
          </a:fld>
          <a:endParaRPr lang="en-US" sz="800">
            <a:latin typeface="Consolas" panose="020B0609020204030204" pitchFamily="49" charset="0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0.0596</cdr:x>
      <cdr:y>0.05214</cdr:y>
    </cdr:from>
    <cdr:to>
      <cdr:x>0.93351</cdr:x>
      <cdr:y>0.92604</cdr:y>
    </cdr:to>
    <cdr:sp macro="" textlink="">
      <cdr:nvSpPr>
        <cdr:cNvPr id="2" name="Arc 1">
          <a:extLst xmlns:a="http://schemas.openxmlformats.org/drawingml/2006/main">
            <a:ext uri="{FF2B5EF4-FFF2-40B4-BE49-F238E27FC236}">
              <a16:creationId xmlns:a16="http://schemas.microsoft.com/office/drawing/2014/main" id="{A0F24112-2256-4FF4-83FE-714E2A96D4CE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150203" y="131394"/>
          <a:ext cx="2202232" cy="2202232"/>
        </a:xfrm>
        <a:prstGeom xmlns:a="http://schemas.openxmlformats.org/drawingml/2006/main" prst="arc">
          <a:avLst>
            <a:gd name="adj1" fmla="val 18144629"/>
            <a:gd name="adj2" fmla="val 19509392"/>
          </a:avLst>
        </a:prstGeom>
        <a:ln xmlns:a="http://schemas.openxmlformats.org/drawingml/2006/main">
          <a:solidFill>
            <a:schemeClr val="tx1"/>
          </a:solidFill>
          <a:head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0.00291</cdr:x>
      <cdr:y>0</cdr:y>
    </cdr:from>
    <cdr:to>
      <cdr:x>0.51476</cdr:x>
      <cdr:y>0.11805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BB02DC0A-7BBA-4776-8CC6-7971FEDB4FF6}"/>
            </a:ext>
          </a:extLst>
        </cdr:cNvPr>
        <cdr:cNvSpPr txBox="1"/>
      </cdr:nvSpPr>
      <cdr:spPr>
        <a:xfrm xmlns:a="http://schemas.openxmlformats.org/drawingml/2006/main">
          <a:off x="5220" y="0"/>
          <a:ext cx="918200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800">
              <a:latin typeface="Consolas" panose="020B0609020204030204" pitchFamily="49" charset="0"/>
            </a:rPr>
            <a:t>A phase P,N,Z</a:t>
          </a:r>
        </a:p>
      </cdr:txBody>
    </cdr:sp>
  </cdr:relSizeAnchor>
  <cdr:relSizeAnchor xmlns:cdr="http://schemas.openxmlformats.org/drawingml/2006/chartDrawing">
    <cdr:from>
      <cdr:x>0</cdr:x>
      <cdr:y>0.85302</cdr:y>
    </cdr:from>
    <cdr:to>
      <cdr:x>0.17504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FC32921-85C1-4CC1-BE59-FFC99465FBF9}"/>
            </a:ext>
          </a:extLst>
        </cdr:cNvPr>
        <cdr:cNvSpPr txBox="1"/>
      </cdr:nvSpPr>
      <cdr:spPr>
        <a:xfrm xmlns:a="http://schemas.openxmlformats.org/drawingml/2006/main">
          <a:off x="0" y="1535440"/>
          <a:ext cx="315048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7030A0"/>
              </a:solidFill>
            </a:rPr>
            <a:t>A</a:t>
          </a:r>
          <a:r>
            <a:rPr lang="en-US" sz="1100" baseline="-25000">
              <a:solidFill>
                <a:srgbClr val="7030A0"/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0.41136</cdr:x>
      <cdr:y>0.85302</cdr:y>
    </cdr:from>
    <cdr:to>
      <cdr:x>0.58639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B7F5F19-0918-4B9D-82E3-630F7A621BF1}"/>
            </a:ext>
          </a:extLst>
        </cdr:cNvPr>
        <cdr:cNvSpPr txBox="1"/>
      </cdr:nvSpPr>
      <cdr:spPr>
        <a:xfrm xmlns:a="http://schemas.openxmlformats.org/drawingml/2006/main">
          <a:off x="740399" y="1535440"/>
          <a:ext cx="315049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accent6">
                  <a:lumMod val="75000"/>
                </a:schemeClr>
              </a:solidFill>
            </a:rPr>
            <a:t>A</a:t>
          </a:r>
          <a:r>
            <a:rPr lang="en-US" sz="1100" baseline="-25000">
              <a:solidFill>
                <a:schemeClr val="accent6">
                  <a:lumMod val="75000"/>
                </a:schemeClr>
              </a:solidFill>
            </a:rPr>
            <a:t>2</a:t>
          </a:r>
        </a:p>
      </cdr:txBody>
    </cdr:sp>
  </cdr:relSizeAnchor>
  <cdr:relSizeAnchor xmlns:cdr="http://schemas.openxmlformats.org/drawingml/2006/chartDrawing">
    <cdr:from>
      <cdr:x>0.82555</cdr:x>
      <cdr:y>0.85302</cdr:y>
    </cdr:from>
    <cdr:to>
      <cdr:x>1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181E30E-8205-47F1-8054-3972889A79EF}"/>
            </a:ext>
          </a:extLst>
        </cdr:cNvPr>
        <cdr:cNvSpPr txBox="1"/>
      </cdr:nvSpPr>
      <cdr:spPr>
        <a:xfrm xmlns:a="http://schemas.openxmlformats.org/drawingml/2006/main">
          <a:off x="1485904" y="1535440"/>
          <a:ext cx="313997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8B814F"/>
              </a:solidFill>
            </a:rPr>
            <a:t>A</a:t>
          </a:r>
          <a:r>
            <a:rPr lang="en-US" sz="1100" baseline="-25000">
              <a:solidFill>
                <a:srgbClr val="8B814F"/>
              </a:solidFill>
            </a:rPr>
            <a:t>0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0.0596</cdr:x>
      <cdr:y>0.05214</cdr:y>
    </cdr:from>
    <cdr:to>
      <cdr:x>0.93351</cdr:x>
      <cdr:y>0.92604</cdr:y>
    </cdr:to>
    <cdr:sp macro="" textlink="">
      <cdr:nvSpPr>
        <cdr:cNvPr id="2" name="Arc 1">
          <a:extLst xmlns:a="http://schemas.openxmlformats.org/drawingml/2006/main">
            <a:ext uri="{FF2B5EF4-FFF2-40B4-BE49-F238E27FC236}">
              <a16:creationId xmlns:a16="http://schemas.microsoft.com/office/drawing/2014/main" id="{A0F24112-2256-4FF4-83FE-714E2A96D4CE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150203" y="131394"/>
          <a:ext cx="2202232" cy="2202232"/>
        </a:xfrm>
        <a:prstGeom xmlns:a="http://schemas.openxmlformats.org/drawingml/2006/main" prst="arc">
          <a:avLst>
            <a:gd name="adj1" fmla="val 18144629"/>
            <a:gd name="adj2" fmla="val 19509392"/>
          </a:avLst>
        </a:prstGeom>
        <a:ln xmlns:a="http://schemas.openxmlformats.org/drawingml/2006/main">
          <a:solidFill>
            <a:schemeClr val="tx1"/>
          </a:solidFill>
          <a:head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0.00291</cdr:x>
      <cdr:y>0</cdr:y>
    </cdr:from>
    <cdr:to>
      <cdr:x>0.51476</cdr:x>
      <cdr:y>0.11805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BB02DC0A-7BBA-4776-8CC6-7971FEDB4FF6}"/>
            </a:ext>
          </a:extLst>
        </cdr:cNvPr>
        <cdr:cNvSpPr txBox="1"/>
      </cdr:nvSpPr>
      <cdr:spPr>
        <a:xfrm xmlns:a="http://schemas.openxmlformats.org/drawingml/2006/main">
          <a:off x="5220" y="0"/>
          <a:ext cx="918200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800">
              <a:latin typeface="Consolas" panose="020B0609020204030204" pitchFamily="49" charset="0"/>
            </a:rPr>
            <a:t>B phase P,N,Z</a:t>
          </a:r>
        </a:p>
      </cdr:txBody>
    </cdr:sp>
  </cdr:relSizeAnchor>
  <cdr:relSizeAnchor xmlns:cdr="http://schemas.openxmlformats.org/drawingml/2006/chartDrawing">
    <cdr:from>
      <cdr:x>0</cdr:x>
      <cdr:y>0.85302</cdr:y>
    </cdr:from>
    <cdr:to>
      <cdr:x>0.17504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FC32921-85C1-4CC1-BE59-FFC99465FBF9}"/>
            </a:ext>
          </a:extLst>
        </cdr:cNvPr>
        <cdr:cNvSpPr txBox="1"/>
      </cdr:nvSpPr>
      <cdr:spPr>
        <a:xfrm xmlns:a="http://schemas.openxmlformats.org/drawingml/2006/main">
          <a:off x="0" y="1535440"/>
          <a:ext cx="315048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7030A0"/>
              </a:solidFill>
            </a:rPr>
            <a:t>B</a:t>
          </a:r>
          <a:r>
            <a:rPr lang="en-US" sz="1100" baseline="-25000">
              <a:solidFill>
                <a:srgbClr val="7030A0"/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0.41136</cdr:x>
      <cdr:y>0.85302</cdr:y>
    </cdr:from>
    <cdr:to>
      <cdr:x>0.58639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B7F5F19-0918-4B9D-82E3-630F7A621BF1}"/>
            </a:ext>
          </a:extLst>
        </cdr:cNvPr>
        <cdr:cNvSpPr txBox="1"/>
      </cdr:nvSpPr>
      <cdr:spPr>
        <a:xfrm xmlns:a="http://schemas.openxmlformats.org/drawingml/2006/main">
          <a:off x="740399" y="1535440"/>
          <a:ext cx="315049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accent6">
                  <a:lumMod val="75000"/>
                </a:schemeClr>
              </a:solidFill>
            </a:rPr>
            <a:t>B</a:t>
          </a:r>
          <a:r>
            <a:rPr lang="en-US" sz="1100" baseline="-25000">
              <a:solidFill>
                <a:schemeClr val="accent6">
                  <a:lumMod val="75000"/>
                </a:schemeClr>
              </a:solidFill>
            </a:rPr>
            <a:t>2</a:t>
          </a:r>
        </a:p>
      </cdr:txBody>
    </cdr:sp>
  </cdr:relSizeAnchor>
  <cdr:relSizeAnchor xmlns:cdr="http://schemas.openxmlformats.org/drawingml/2006/chartDrawing">
    <cdr:from>
      <cdr:x>0.82555</cdr:x>
      <cdr:y>0.85302</cdr:y>
    </cdr:from>
    <cdr:to>
      <cdr:x>0.9968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181E30E-8205-47F1-8054-3972889A79EF}"/>
            </a:ext>
          </a:extLst>
        </cdr:cNvPr>
        <cdr:cNvSpPr txBox="1"/>
      </cdr:nvSpPr>
      <cdr:spPr>
        <a:xfrm xmlns:a="http://schemas.openxmlformats.org/drawingml/2006/main">
          <a:off x="1490196" y="1535436"/>
          <a:ext cx="309124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aseline="0">
              <a:solidFill>
                <a:srgbClr val="8B814F"/>
              </a:solidFill>
            </a:rPr>
            <a:t>B</a:t>
          </a:r>
          <a:r>
            <a:rPr lang="en-US" sz="1100" baseline="-25000">
              <a:solidFill>
                <a:srgbClr val="8B814F"/>
              </a:solidFill>
            </a:rPr>
            <a:t>0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0.0596</cdr:x>
      <cdr:y>0.05214</cdr:y>
    </cdr:from>
    <cdr:to>
      <cdr:x>0.93351</cdr:x>
      <cdr:y>0.92604</cdr:y>
    </cdr:to>
    <cdr:sp macro="" textlink="">
      <cdr:nvSpPr>
        <cdr:cNvPr id="2" name="Arc 1">
          <a:extLst xmlns:a="http://schemas.openxmlformats.org/drawingml/2006/main">
            <a:ext uri="{FF2B5EF4-FFF2-40B4-BE49-F238E27FC236}">
              <a16:creationId xmlns:a16="http://schemas.microsoft.com/office/drawing/2014/main" id="{A0F24112-2256-4FF4-83FE-714E2A96D4CE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150203" y="131394"/>
          <a:ext cx="2202232" cy="2202232"/>
        </a:xfrm>
        <a:prstGeom xmlns:a="http://schemas.openxmlformats.org/drawingml/2006/main" prst="arc">
          <a:avLst>
            <a:gd name="adj1" fmla="val 18144629"/>
            <a:gd name="adj2" fmla="val 19509392"/>
          </a:avLst>
        </a:prstGeom>
        <a:ln xmlns:a="http://schemas.openxmlformats.org/drawingml/2006/main">
          <a:solidFill>
            <a:schemeClr val="tx1"/>
          </a:solidFill>
          <a:head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0.00291</cdr:x>
      <cdr:y>0</cdr:y>
    </cdr:from>
    <cdr:to>
      <cdr:x>0.51476</cdr:x>
      <cdr:y>0.11805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BB02DC0A-7BBA-4776-8CC6-7971FEDB4FF6}"/>
            </a:ext>
          </a:extLst>
        </cdr:cNvPr>
        <cdr:cNvSpPr txBox="1"/>
      </cdr:nvSpPr>
      <cdr:spPr>
        <a:xfrm xmlns:a="http://schemas.openxmlformats.org/drawingml/2006/main">
          <a:off x="5220" y="0"/>
          <a:ext cx="918200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800">
              <a:latin typeface="Consolas" panose="020B0609020204030204" pitchFamily="49" charset="0"/>
            </a:rPr>
            <a:t>C phase P,N,Z</a:t>
          </a:r>
        </a:p>
      </cdr:txBody>
    </cdr:sp>
  </cdr:relSizeAnchor>
  <cdr:relSizeAnchor xmlns:cdr="http://schemas.openxmlformats.org/drawingml/2006/chartDrawing">
    <cdr:from>
      <cdr:x>0</cdr:x>
      <cdr:y>0.85302</cdr:y>
    </cdr:from>
    <cdr:to>
      <cdr:x>0.17504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FC32921-85C1-4CC1-BE59-FFC99465FBF9}"/>
            </a:ext>
          </a:extLst>
        </cdr:cNvPr>
        <cdr:cNvSpPr txBox="1"/>
      </cdr:nvSpPr>
      <cdr:spPr>
        <a:xfrm xmlns:a="http://schemas.openxmlformats.org/drawingml/2006/main">
          <a:off x="0" y="1535440"/>
          <a:ext cx="315048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7030A0"/>
              </a:solidFill>
            </a:rPr>
            <a:t>C</a:t>
          </a:r>
          <a:r>
            <a:rPr lang="en-US" sz="1100" baseline="-25000">
              <a:solidFill>
                <a:srgbClr val="7030A0"/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0.41136</cdr:x>
      <cdr:y>0.85302</cdr:y>
    </cdr:from>
    <cdr:to>
      <cdr:x>0.58639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B7F5F19-0918-4B9D-82E3-630F7A621BF1}"/>
            </a:ext>
          </a:extLst>
        </cdr:cNvPr>
        <cdr:cNvSpPr txBox="1"/>
      </cdr:nvSpPr>
      <cdr:spPr>
        <a:xfrm xmlns:a="http://schemas.openxmlformats.org/drawingml/2006/main">
          <a:off x="740399" y="1535440"/>
          <a:ext cx="315049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accent6">
                  <a:lumMod val="75000"/>
                </a:schemeClr>
              </a:solidFill>
            </a:rPr>
            <a:t>C</a:t>
          </a:r>
          <a:r>
            <a:rPr lang="en-US" sz="1100" baseline="-25000">
              <a:solidFill>
                <a:schemeClr val="accent6">
                  <a:lumMod val="75000"/>
                </a:schemeClr>
              </a:solidFill>
            </a:rPr>
            <a:t>2</a:t>
          </a:r>
        </a:p>
      </cdr:txBody>
    </cdr:sp>
  </cdr:relSizeAnchor>
  <cdr:relSizeAnchor xmlns:cdr="http://schemas.openxmlformats.org/drawingml/2006/chartDrawing">
    <cdr:from>
      <cdr:x>0.82555</cdr:x>
      <cdr:y>0.85302</cdr:y>
    </cdr:from>
    <cdr:to>
      <cdr:x>0.9968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181E30E-8205-47F1-8054-3972889A79EF}"/>
            </a:ext>
          </a:extLst>
        </cdr:cNvPr>
        <cdr:cNvSpPr txBox="1"/>
      </cdr:nvSpPr>
      <cdr:spPr>
        <a:xfrm xmlns:a="http://schemas.openxmlformats.org/drawingml/2006/main">
          <a:off x="1490196" y="1535436"/>
          <a:ext cx="309124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aseline="0">
              <a:solidFill>
                <a:srgbClr val="8B814F"/>
              </a:solidFill>
            </a:rPr>
            <a:t>C</a:t>
          </a:r>
          <a:r>
            <a:rPr lang="en-US" sz="1100" baseline="-25000">
              <a:solidFill>
                <a:srgbClr val="8B814F"/>
              </a:solidFill>
            </a:rPr>
            <a:t>0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0.0596</cdr:x>
      <cdr:y>0.05214</cdr:y>
    </cdr:from>
    <cdr:to>
      <cdr:x>0.93351</cdr:x>
      <cdr:y>0.92604</cdr:y>
    </cdr:to>
    <cdr:sp macro="" textlink="">
      <cdr:nvSpPr>
        <cdr:cNvPr id="2" name="Arc 1">
          <a:extLst xmlns:a="http://schemas.openxmlformats.org/drawingml/2006/main">
            <a:ext uri="{FF2B5EF4-FFF2-40B4-BE49-F238E27FC236}">
              <a16:creationId xmlns:a16="http://schemas.microsoft.com/office/drawing/2014/main" id="{A0F24112-2256-4FF4-83FE-714E2A96D4CE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150203" y="131394"/>
          <a:ext cx="2202232" cy="2202232"/>
        </a:xfrm>
        <a:prstGeom xmlns:a="http://schemas.openxmlformats.org/drawingml/2006/main" prst="arc">
          <a:avLst>
            <a:gd name="adj1" fmla="val 18144629"/>
            <a:gd name="adj2" fmla="val 19509392"/>
          </a:avLst>
        </a:prstGeom>
        <a:ln xmlns:a="http://schemas.openxmlformats.org/drawingml/2006/main">
          <a:solidFill>
            <a:schemeClr val="tx1"/>
          </a:solidFill>
          <a:head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0.00291</cdr:x>
      <cdr:y>0</cdr:y>
    </cdr:from>
    <cdr:to>
      <cdr:x>0.25532</cdr:x>
      <cdr:y>0.13201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BB02DC0A-7BBA-4776-8CC6-7971FEDB4FF6}"/>
            </a:ext>
          </a:extLst>
        </cdr:cNvPr>
        <cdr:cNvSpPr txBox="1"/>
      </cdr:nvSpPr>
      <cdr:spPr>
        <a:xfrm xmlns:a="http://schemas.openxmlformats.org/drawingml/2006/main">
          <a:off x="7327" y="0"/>
          <a:ext cx="636072" cy="332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800">
              <a:latin typeface="Consolas" panose="020B0609020204030204" pitchFamily="49" charset="0"/>
            </a:rPr>
            <a:t>Actual</a:t>
          </a:r>
        </a:p>
        <a:p xmlns:a="http://schemas.openxmlformats.org/drawingml/2006/main">
          <a:r>
            <a:rPr lang="en-US" sz="800">
              <a:latin typeface="Consolas" panose="020B0609020204030204" pitchFamily="49" charset="0"/>
            </a:rPr>
            <a:t>Per Unit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0.0596</cdr:x>
      <cdr:y>0.05214</cdr:y>
    </cdr:from>
    <cdr:to>
      <cdr:x>0.93351</cdr:x>
      <cdr:y>0.92604</cdr:y>
    </cdr:to>
    <cdr:sp macro="" textlink="">
      <cdr:nvSpPr>
        <cdr:cNvPr id="2" name="Arc 1">
          <a:extLst xmlns:a="http://schemas.openxmlformats.org/drawingml/2006/main">
            <a:ext uri="{FF2B5EF4-FFF2-40B4-BE49-F238E27FC236}">
              <a16:creationId xmlns:a16="http://schemas.microsoft.com/office/drawing/2014/main" id="{A0F24112-2256-4FF4-83FE-714E2A96D4CE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150203" y="131394"/>
          <a:ext cx="2202232" cy="2202232"/>
        </a:xfrm>
        <a:prstGeom xmlns:a="http://schemas.openxmlformats.org/drawingml/2006/main" prst="arc">
          <a:avLst>
            <a:gd name="adj1" fmla="val 18144629"/>
            <a:gd name="adj2" fmla="val 19509392"/>
          </a:avLst>
        </a:prstGeom>
        <a:ln xmlns:a="http://schemas.openxmlformats.org/drawingml/2006/main">
          <a:solidFill>
            <a:schemeClr val="tx1"/>
          </a:solidFill>
          <a:head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0.32145</cdr:x>
      <cdr:y>0.50415</cdr:y>
    </cdr:from>
    <cdr:to>
      <cdr:x>0.82973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AABBB34-D235-42AC-A9D7-16098250BAB8}"/>
            </a:ext>
          </a:extLst>
        </cdr:cNvPr>
        <cdr:cNvSpPr txBox="1"/>
      </cdr:nvSpPr>
      <cdr:spPr>
        <a:xfrm xmlns:a="http://schemas.openxmlformats.org/drawingml/2006/main">
          <a:off x="578304" y="92972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0.15881</cdr:x>
      <cdr:y>0.51265</cdr:y>
    </cdr:from>
    <cdr:to>
      <cdr:x>0.66518</cdr:x>
      <cdr:y>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AD2F52C-2C0F-47B6-AAA8-8D6B457B5451}"/>
            </a:ext>
          </a:extLst>
        </cdr:cNvPr>
        <cdr:cNvSpPr txBox="1"/>
      </cdr:nvSpPr>
      <cdr:spPr>
        <a:xfrm xmlns:a="http://schemas.openxmlformats.org/drawingml/2006/main">
          <a:off x="286774" y="1587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0.0338</cdr:x>
      <cdr:y>0.8677</cdr:y>
    </cdr:from>
    <cdr:to>
      <cdr:x>0.90181</cdr:x>
      <cdr:y>0.98096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161DD713-DC14-48B5-8CC4-519EB32BD1F6}"/>
            </a:ext>
          </a:extLst>
        </cdr:cNvPr>
        <cdr:cNvSpPr txBox="1"/>
      </cdr:nvSpPr>
      <cdr:spPr>
        <a:xfrm xmlns:a="http://schemas.openxmlformats.org/drawingml/2006/main">
          <a:off x="61041" y="1628058"/>
          <a:ext cx="1567425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800">
            <a:latin typeface="Consolas" panose="020B0609020204030204" pitchFamily="49" charset="0"/>
          </a:endParaRPr>
        </a:p>
      </cdr:txBody>
    </cdr:sp>
  </cdr:relSizeAnchor>
  <cdr:relSizeAnchor xmlns:cdr="http://schemas.openxmlformats.org/drawingml/2006/chartDrawing">
    <cdr:from>
      <cdr:x>0.31172</cdr:x>
      <cdr:y>0</cdr:y>
    </cdr:from>
    <cdr:to>
      <cdr:x>0.72031</cdr:x>
      <cdr:y>0.11325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73DC5889-C7EB-4D96-9CFE-4D271A73A34A}"/>
            </a:ext>
          </a:extLst>
        </cdr:cNvPr>
        <cdr:cNvSpPr txBox="1"/>
      </cdr:nvSpPr>
      <cdr:spPr>
        <a:xfrm xmlns:a="http://schemas.openxmlformats.org/drawingml/2006/main">
          <a:off x="562897" y="0"/>
          <a:ext cx="737829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FF0000"/>
              </a:solidFill>
              <a:latin typeface="Consolas" panose="020B0609020204030204" pitchFamily="49" charset="0"/>
            </a:rPr>
            <a:t>A</a:t>
          </a:r>
          <a:r>
            <a:rPr lang="en-US" sz="800">
              <a:latin typeface="Consolas" panose="020B0609020204030204" pitchFamily="49" charset="0"/>
            </a:rPr>
            <a:t> + </a:t>
          </a:r>
          <a:r>
            <a:rPr lang="en-US" sz="800">
              <a:solidFill>
                <a:srgbClr val="FFFF00"/>
              </a:solidFill>
              <a:latin typeface="Consolas" panose="020B0609020204030204" pitchFamily="49" charset="0"/>
            </a:rPr>
            <a:t>B</a:t>
          </a:r>
          <a:r>
            <a:rPr lang="en-US" sz="800">
              <a:latin typeface="Consolas" panose="020B0609020204030204" pitchFamily="49" charset="0"/>
            </a:rPr>
            <a:t> + </a:t>
          </a:r>
          <a:r>
            <a:rPr lang="en-US" sz="800">
              <a:solidFill>
                <a:srgbClr val="0070C0"/>
              </a:solidFill>
              <a:latin typeface="Consolas" panose="020B0609020204030204" pitchFamily="49" charset="0"/>
            </a:rPr>
            <a:t>C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0.0596</cdr:x>
      <cdr:y>0.05214</cdr:y>
    </cdr:from>
    <cdr:to>
      <cdr:x>0.93351</cdr:x>
      <cdr:y>0.92604</cdr:y>
    </cdr:to>
    <cdr:sp macro="" textlink="">
      <cdr:nvSpPr>
        <cdr:cNvPr id="2" name="Arc 1">
          <a:extLst xmlns:a="http://schemas.openxmlformats.org/drawingml/2006/main">
            <a:ext uri="{FF2B5EF4-FFF2-40B4-BE49-F238E27FC236}">
              <a16:creationId xmlns:a16="http://schemas.microsoft.com/office/drawing/2014/main" id="{A0F24112-2256-4FF4-83FE-714E2A96D4CE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150203" y="131394"/>
          <a:ext cx="2202232" cy="2202232"/>
        </a:xfrm>
        <a:prstGeom xmlns:a="http://schemas.openxmlformats.org/drawingml/2006/main" prst="arc">
          <a:avLst>
            <a:gd name="adj1" fmla="val 18144629"/>
            <a:gd name="adj2" fmla="val 19509392"/>
          </a:avLst>
        </a:prstGeom>
        <a:ln xmlns:a="http://schemas.openxmlformats.org/drawingml/2006/main">
          <a:solidFill>
            <a:schemeClr val="tx1"/>
          </a:solidFill>
          <a:head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0.69148</cdr:x>
      <cdr:y>0.10732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BB02DC0A-7BBA-4776-8CC6-7971FEDB4FF6}"/>
            </a:ext>
          </a:extLst>
        </cdr:cNvPr>
        <cdr:cNvSpPr txBox="1"/>
      </cdr:nvSpPr>
      <cdr:spPr>
        <a:xfrm xmlns:a="http://schemas.openxmlformats.org/drawingml/2006/main">
          <a:off x="0" y="0"/>
          <a:ext cx="1369606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800">
              <a:latin typeface="Consolas" panose="020B0609020204030204" pitchFamily="49" charset="0"/>
            </a:rPr>
            <a:t>Positive Sequence ABC</a:t>
          </a:r>
        </a:p>
      </cdr:txBody>
    </cdr:sp>
  </cdr:relSizeAnchor>
  <cdr:relSizeAnchor xmlns:cdr="http://schemas.openxmlformats.org/drawingml/2006/chartDrawing">
    <cdr:from>
      <cdr:x>0</cdr:x>
      <cdr:y>0.89268</cdr:y>
    </cdr:from>
    <cdr:to>
      <cdr:x>0.34962</cdr:x>
      <cdr:y>1</cdr:y>
    </cdr:to>
    <cdr:sp macro="" textlink="A1m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29D417D-38D2-4A4C-AD8E-88C4A1BFA3BC}"/>
            </a:ext>
          </a:extLst>
        </cdr:cNvPr>
        <cdr:cNvSpPr txBox="1"/>
      </cdr:nvSpPr>
      <cdr:spPr>
        <a:xfrm xmlns:a="http://schemas.openxmlformats.org/drawingml/2006/main">
          <a:off x="0" y="1767506"/>
          <a:ext cx="692497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fld id="{E7E48437-4441-4102-BEF5-15920481D386}" type="TxLink">
            <a:rPr lang="en-US" sz="800" b="0" i="0" u="none" strike="noStrike">
              <a:solidFill>
                <a:srgbClr val="000000"/>
              </a:solidFill>
              <a:latin typeface="Consolas" panose="020B0609020204030204" pitchFamily="49" charset="0"/>
              <a:ea typeface="Tahoma"/>
              <a:cs typeface="Tahoma"/>
            </a:rPr>
            <a:pPr/>
            <a:t>0.70 p.u.</a:t>
          </a:fld>
          <a:endParaRPr lang="en-US" sz="800">
            <a:latin typeface="Consolas" panose="020B0609020204030204" pitchFamily="49" charset="0"/>
          </a:endParaRPr>
        </a:p>
      </cdr:txBody>
    </cdr:sp>
  </cdr:relSizeAnchor>
  <cdr:relSizeAnchor xmlns:cdr="http://schemas.openxmlformats.org/drawingml/2006/chartDrawing">
    <cdr:from>
      <cdr:x>0.70735</cdr:x>
      <cdr:y>0.89268</cdr:y>
    </cdr:from>
    <cdr:to>
      <cdr:x>1</cdr:x>
      <cdr:y>1</cdr:y>
    </cdr:to>
    <cdr:sp macro="" textlink="Analysis!$F$15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EEF4121-B5A8-412A-957B-170BA17A7AD0}"/>
            </a:ext>
          </a:extLst>
        </cdr:cNvPr>
        <cdr:cNvSpPr txBox="1"/>
      </cdr:nvSpPr>
      <cdr:spPr>
        <a:xfrm xmlns:a="http://schemas.openxmlformats.org/drawingml/2006/main">
          <a:off x="1401043" y="1767506"/>
          <a:ext cx="579647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pPr algn="r"/>
          <a:fld id="{BB24A1EB-D7DE-4F7D-B426-73E0077DB22C}" type="TxLink">
            <a:rPr lang="en-US" sz="800" b="0" i="0" u="none" strike="noStrike">
              <a:solidFill>
                <a:srgbClr val="000000"/>
              </a:solidFill>
              <a:latin typeface="Consolas" panose="020B0609020204030204" pitchFamily="49" charset="0"/>
              <a:ea typeface="Tahoma"/>
              <a:cs typeface="Tahoma"/>
            </a:rPr>
            <a:pPr algn="r"/>
            <a:t>119.6 A</a:t>
          </a:fld>
          <a:endParaRPr lang="en-US" sz="800">
            <a:latin typeface="Consolas" panose="020B0609020204030204" pitchFamily="49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0.0596</cdr:x>
      <cdr:y>0.05214</cdr:y>
    </cdr:from>
    <cdr:to>
      <cdr:x>0.93351</cdr:x>
      <cdr:y>0.92604</cdr:y>
    </cdr:to>
    <cdr:sp macro="" textlink="">
      <cdr:nvSpPr>
        <cdr:cNvPr id="2" name="Arc 1">
          <a:extLst xmlns:a="http://schemas.openxmlformats.org/drawingml/2006/main">
            <a:ext uri="{FF2B5EF4-FFF2-40B4-BE49-F238E27FC236}">
              <a16:creationId xmlns:a16="http://schemas.microsoft.com/office/drawing/2014/main" id="{A0F24112-2256-4FF4-83FE-714E2A96D4CE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150203" y="131394"/>
          <a:ext cx="2202232" cy="2202232"/>
        </a:xfrm>
        <a:prstGeom xmlns:a="http://schemas.openxmlformats.org/drawingml/2006/main" prst="arc">
          <a:avLst>
            <a:gd name="adj1" fmla="val 18144629"/>
            <a:gd name="adj2" fmla="val 19509392"/>
          </a:avLst>
        </a:prstGeom>
        <a:ln xmlns:a="http://schemas.openxmlformats.org/drawingml/2006/main">
          <a:solidFill>
            <a:schemeClr val="tx1"/>
          </a:solidFill>
          <a:head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0.69277</cdr:x>
      <cdr:y>0.10732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BB02DC0A-7BBA-4776-8CC6-7971FEDB4FF6}"/>
            </a:ext>
          </a:extLst>
        </cdr:cNvPr>
        <cdr:cNvSpPr txBox="1"/>
      </cdr:nvSpPr>
      <cdr:spPr>
        <a:xfrm xmlns:a="http://schemas.openxmlformats.org/drawingml/2006/main">
          <a:off x="0" y="0"/>
          <a:ext cx="1369606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800">
              <a:latin typeface="Consolas" panose="020B0609020204030204" pitchFamily="49" charset="0"/>
            </a:rPr>
            <a:t>Negative Sequence ACB</a:t>
          </a:r>
        </a:p>
      </cdr:txBody>
    </cdr:sp>
  </cdr:relSizeAnchor>
  <cdr:relSizeAnchor xmlns:cdr="http://schemas.openxmlformats.org/drawingml/2006/chartDrawing">
    <cdr:from>
      <cdr:x>0</cdr:x>
      <cdr:y>0.89268</cdr:y>
    </cdr:from>
    <cdr:to>
      <cdr:x>0.35028</cdr:x>
      <cdr:y>1</cdr:y>
    </cdr:to>
    <cdr:sp macro="" textlink="Analysis!$K$12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29D417D-38D2-4A4C-AD8E-88C4A1BFA3BC}"/>
            </a:ext>
          </a:extLst>
        </cdr:cNvPr>
        <cdr:cNvSpPr txBox="1"/>
      </cdr:nvSpPr>
      <cdr:spPr>
        <a:xfrm xmlns:a="http://schemas.openxmlformats.org/drawingml/2006/main">
          <a:off x="0" y="1767506"/>
          <a:ext cx="692497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fld id="{B7F7198B-8230-47DA-B749-7A0B50CD316F}" type="TxLink">
            <a:rPr lang="en-US" sz="800" b="0" i="0" u="none" strike="noStrike">
              <a:solidFill>
                <a:srgbClr val="000000"/>
              </a:solidFill>
              <a:latin typeface="Consolas" panose="020B0609020204030204" pitchFamily="49" charset="0"/>
              <a:ea typeface="Tahoma"/>
              <a:cs typeface="Tahoma"/>
            </a:rPr>
            <a:pPr/>
            <a:t>0.30 p.u.</a:t>
          </a:fld>
          <a:endParaRPr lang="en-US" sz="800">
            <a:latin typeface="Consolas" panose="020B0609020204030204" pitchFamily="49" charset="0"/>
          </a:endParaRPr>
        </a:p>
      </cdr:txBody>
    </cdr:sp>
  </cdr:relSizeAnchor>
  <cdr:relSizeAnchor xmlns:cdr="http://schemas.openxmlformats.org/drawingml/2006/chartDrawing">
    <cdr:from>
      <cdr:x>0.73535</cdr:x>
      <cdr:y>0.89268</cdr:y>
    </cdr:from>
    <cdr:to>
      <cdr:x>1</cdr:x>
      <cdr:y>1</cdr:y>
    </cdr:to>
    <cdr:sp macro="" textlink="Analysis!$J$15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CEB713BD-CCA6-40FB-9BA8-A44DCA19C90D}"/>
            </a:ext>
          </a:extLst>
        </cdr:cNvPr>
        <cdr:cNvSpPr txBox="1"/>
      </cdr:nvSpPr>
      <cdr:spPr>
        <a:xfrm xmlns:a="http://schemas.openxmlformats.org/drawingml/2006/main">
          <a:off x="1453787" y="1767506"/>
          <a:ext cx="523221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pPr algn="r"/>
          <a:fld id="{9586F64A-FEE2-497B-9E2C-11616E691E98}" type="TxLink">
            <a:rPr lang="en-US" sz="800" b="0" i="0" u="none" strike="noStrike">
              <a:solidFill>
                <a:srgbClr val="000000"/>
              </a:solidFill>
              <a:latin typeface="Consolas" panose="020B0609020204030204" pitchFamily="49" charset="0"/>
              <a:ea typeface="Tahoma"/>
              <a:cs typeface="Tahoma"/>
            </a:rPr>
            <a:pPr algn="r"/>
            <a:t>51.3 A</a:t>
          </a:fld>
          <a:endParaRPr lang="en-US" sz="800">
            <a:latin typeface="Consolas" panose="020B0609020204030204" pitchFamily="49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0.0596</cdr:x>
      <cdr:y>0.05214</cdr:y>
    </cdr:from>
    <cdr:to>
      <cdr:x>0.93351</cdr:x>
      <cdr:y>0.92604</cdr:y>
    </cdr:to>
    <cdr:sp macro="" textlink="">
      <cdr:nvSpPr>
        <cdr:cNvPr id="2" name="Arc 1">
          <a:extLst xmlns:a="http://schemas.openxmlformats.org/drawingml/2006/main">
            <a:ext uri="{FF2B5EF4-FFF2-40B4-BE49-F238E27FC236}">
              <a16:creationId xmlns:a16="http://schemas.microsoft.com/office/drawing/2014/main" id="{A0F24112-2256-4FF4-83FE-714E2A96D4CE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150203" y="131394"/>
          <a:ext cx="2202232" cy="2202232"/>
        </a:xfrm>
        <a:prstGeom xmlns:a="http://schemas.openxmlformats.org/drawingml/2006/main" prst="arc">
          <a:avLst>
            <a:gd name="adj1" fmla="val 18144629"/>
            <a:gd name="adj2" fmla="val 19509392"/>
          </a:avLst>
        </a:prstGeom>
        <a:ln xmlns:a="http://schemas.openxmlformats.org/drawingml/2006/main">
          <a:solidFill>
            <a:schemeClr val="tx1"/>
          </a:solidFill>
          <a:head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0.51066</cdr:x>
      <cdr:y>0.11805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BB02DC0A-7BBA-4776-8CC6-7971FEDB4FF6}"/>
            </a:ext>
          </a:extLst>
        </cdr:cNvPr>
        <cdr:cNvSpPr txBox="1"/>
      </cdr:nvSpPr>
      <cdr:spPr>
        <a:xfrm xmlns:a="http://schemas.openxmlformats.org/drawingml/2006/main">
          <a:off x="0" y="0"/>
          <a:ext cx="918200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800">
              <a:latin typeface="Consolas" panose="020B0609020204030204" pitchFamily="49" charset="0"/>
            </a:rPr>
            <a:t>Zero Sequence</a:t>
          </a:r>
        </a:p>
      </cdr:txBody>
    </cdr:sp>
  </cdr:relSizeAnchor>
  <cdr:relSizeAnchor xmlns:cdr="http://schemas.openxmlformats.org/drawingml/2006/chartDrawing">
    <cdr:from>
      <cdr:x>0</cdr:x>
      <cdr:y>0.89268</cdr:y>
    </cdr:from>
    <cdr:to>
      <cdr:x>0.35028</cdr:x>
      <cdr:y>1</cdr:y>
    </cdr:to>
    <cdr:sp macro="" textlink="Analysis!$O$12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29D417D-38D2-4A4C-AD8E-88C4A1BFA3BC}"/>
            </a:ext>
          </a:extLst>
        </cdr:cNvPr>
        <cdr:cNvSpPr txBox="1"/>
      </cdr:nvSpPr>
      <cdr:spPr>
        <a:xfrm xmlns:a="http://schemas.openxmlformats.org/drawingml/2006/main">
          <a:off x="0" y="1767506"/>
          <a:ext cx="692497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fld id="{EBD0FF65-87DB-40EA-A06B-AA853E2FB917}" type="TxLink">
            <a:rPr lang="en-US" sz="800" b="0" i="0" u="none" strike="noStrike">
              <a:solidFill>
                <a:srgbClr val="000000"/>
              </a:solidFill>
              <a:latin typeface="Consolas" panose="020B0609020204030204" pitchFamily="49" charset="0"/>
              <a:ea typeface="Tahoma"/>
              <a:cs typeface="Tahoma"/>
            </a:rPr>
            <a:pPr/>
            <a:t>0.13 p.u.</a:t>
          </a:fld>
          <a:endParaRPr lang="en-US" sz="800">
            <a:latin typeface="Consolas" panose="020B0609020204030204" pitchFamily="49" charset="0"/>
          </a:endParaRPr>
        </a:p>
      </cdr:txBody>
    </cdr:sp>
  </cdr:relSizeAnchor>
  <cdr:relSizeAnchor xmlns:cdr="http://schemas.openxmlformats.org/drawingml/2006/chartDrawing">
    <cdr:from>
      <cdr:x>0.79243</cdr:x>
      <cdr:y>0.89268</cdr:y>
    </cdr:from>
    <cdr:to>
      <cdr:x>1</cdr:x>
      <cdr:y>1</cdr:y>
    </cdr:to>
    <cdr:sp macro="" textlink="Analysis!$N$15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F2C8BD5A-2E2A-45D0-9D2D-E6DD56B985F9}"/>
            </a:ext>
          </a:extLst>
        </cdr:cNvPr>
        <cdr:cNvSpPr txBox="1"/>
      </cdr:nvSpPr>
      <cdr:spPr>
        <a:xfrm xmlns:a="http://schemas.openxmlformats.org/drawingml/2006/main">
          <a:off x="1566640" y="1767506"/>
          <a:ext cx="410369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pPr algn="r"/>
          <a:fld id="{2A0C7FF2-2B2A-463B-8577-82976067DEA5}" type="TxLink">
            <a:rPr lang="en-US" sz="800" b="0" i="0" u="none" strike="noStrike">
              <a:solidFill>
                <a:srgbClr val="000000"/>
              </a:solidFill>
              <a:latin typeface="Consolas" panose="020B0609020204030204" pitchFamily="49" charset="0"/>
              <a:ea typeface="Tahoma"/>
              <a:cs typeface="Tahoma"/>
            </a:rPr>
            <a:pPr algn="r"/>
            <a:t>22 A</a:t>
          </a:fld>
          <a:endParaRPr lang="en-US" sz="800">
            <a:latin typeface="Consolas" panose="020B0609020204030204" pitchFamily="49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0.0596</cdr:x>
      <cdr:y>0.05214</cdr:y>
    </cdr:from>
    <cdr:to>
      <cdr:x>0.93351</cdr:x>
      <cdr:y>0.92604</cdr:y>
    </cdr:to>
    <cdr:sp macro="" textlink="">
      <cdr:nvSpPr>
        <cdr:cNvPr id="2" name="Arc 1">
          <a:extLst xmlns:a="http://schemas.openxmlformats.org/drawingml/2006/main">
            <a:ext uri="{FF2B5EF4-FFF2-40B4-BE49-F238E27FC236}">
              <a16:creationId xmlns:a16="http://schemas.microsoft.com/office/drawing/2014/main" id="{A0F24112-2256-4FF4-83FE-714E2A96D4CE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150203" y="131394"/>
          <a:ext cx="2202232" cy="2202232"/>
        </a:xfrm>
        <a:prstGeom xmlns:a="http://schemas.openxmlformats.org/drawingml/2006/main" prst="arc">
          <a:avLst>
            <a:gd name="adj1" fmla="val 18144629"/>
            <a:gd name="adj2" fmla="val 19509392"/>
          </a:avLst>
        </a:prstGeom>
        <a:ln xmlns:a="http://schemas.openxmlformats.org/drawingml/2006/main">
          <a:solidFill>
            <a:schemeClr val="tx1"/>
          </a:solidFill>
          <a:head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0.46359</cdr:x>
      <cdr:y>0.10732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BB02DC0A-7BBA-4776-8CC6-7971FEDB4FF6}"/>
            </a:ext>
          </a:extLst>
        </cdr:cNvPr>
        <cdr:cNvSpPr txBox="1"/>
      </cdr:nvSpPr>
      <cdr:spPr>
        <a:xfrm xmlns:a="http://schemas.openxmlformats.org/drawingml/2006/main">
          <a:off x="0" y="0"/>
          <a:ext cx="918200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800">
              <a:latin typeface="Consolas" panose="020B0609020204030204" pitchFamily="49" charset="0"/>
            </a:rPr>
            <a:t>Neutral/Earth</a:t>
          </a:r>
          <a:endParaRPr lang="en-US" sz="800" baseline="-25000">
            <a:latin typeface="Consolas" panose="020B0609020204030204" pitchFamily="49" charset="0"/>
          </a:endParaRPr>
        </a:p>
      </cdr:txBody>
    </cdr:sp>
  </cdr:relSizeAnchor>
  <cdr:relSizeAnchor xmlns:cdr="http://schemas.openxmlformats.org/drawingml/2006/chartDrawing">
    <cdr:from>
      <cdr:x>0</cdr:x>
      <cdr:y>0.89268</cdr:y>
    </cdr:from>
    <cdr:to>
      <cdr:x>0.37882</cdr:x>
      <cdr:y>1</cdr:y>
    </cdr:to>
    <cdr:sp macro="" textlink="Analysis!$S$12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29D417D-38D2-4A4C-AD8E-88C4A1BFA3BC}"/>
            </a:ext>
          </a:extLst>
        </cdr:cNvPr>
        <cdr:cNvSpPr txBox="1"/>
      </cdr:nvSpPr>
      <cdr:spPr>
        <a:xfrm xmlns:a="http://schemas.openxmlformats.org/drawingml/2006/main">
          <a:off x="0" y="1767506"/>
          <a:ext cx="748923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fld id="{910B5BDD-D8F0-4C84-94FD-2704CB857D7A}" type="TxLink">
            <a:rPr lang="en-US" sz="800" b="0" i="0" u="none" strike="noStrike">
              <a:solidFill>
                <a:srgbClr val="000000"/>
              </a:solidFill>
              <a:latin typeface="Consolas" panose="020B0609020204030204" pitchFamily="49" charset="0"/>
              <a:ea typeface="Tahoma"/>
              <a:cs typeface="Tahoma"/>
            </a:rPr>
            <a:pPr/>
            <a:t>0.388 p.u.</a:t>
          </a:fld>
          <a:endParaRPr lang="en-US" sz="800">
            <a:latin typeface="Consolas" panose="020B0609020204030204" pitchFamily="49" charset="0"/>
          </a:endParaRPr>
        </a:p>
      </cdr:txBody>
    </cdr:sp>
  </cdr:relSizeAnchor>
  <cdr:relSizeAnchor xmlns:cdr="http://schemas.openxmlformats.org/drawingml/2006/chartDrawing">
    <cdr:from>
      <cdr:x>0.73535</cdr:x>
      <cdr:y>0.89268</cdr:y>
    </cdr:from>
    <cdr:to>
      <cdr:x>1</cdr:x>
      <cdr:y>1</cdr:y>
    </cdr:to>
    <cdr:sp macro="" textlink="Analysis!$T$15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9650D64B-1267-475A-9F0A-D40F11FD32FB}"/>
            </a:ext>
          </a:extLst>
        </cdr:cNvPr>
        <cdr:cNvSpPr txBox="1"/>
      </cdr:nvSpPr>
      <cdr:spPr>
        <a:xfrm xmlns:a="http://schemas.openxmlformats.org/drawingml/2006/main">
          <a:off x="1453788" y="1767506"/>
          <a:ext cx="523220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pPr algn="r"/>
          <a:fld id="{CA166903-3EC7-43AB-B023-511CA9AD7ED0}" type="TxLink">
            <a:rPr lang="en-US" sz="800" b="0" i="0" u="none" strike="noStrike">
              <a:solidFill>
                <a:srgbClr val="000000"/>
              </a:solidFill>
              <a:latin typeface="Consolas" panose="020B0609020204030204" pitchFamily="49" charset="0"/>
              <a:ea typeface="Tahoma"/>
              <a:cs typeface="Tahoma"/>
            </a:rPr>
            <a:pPr algn="r"/>
            <a:t>65.9 A</a:t>
          </a:fld>
          <a:endParaRPr lang="en-US" sz="800">
            <a:latin typeface="Consolas" panose="020B0609020204030204" pitchFamily="49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0.0596</cdr:x>
      <cdr:y>0.05214</cdr:y>
    </cdr:from>
    <cdr:to>
      <cdr:x>0.93351</cdr:x>
      <cdr:y>0.92604</cdr:y>
    </cdr:to>
    <cdr:sp macro="" textlink="">
      <cdr:nvSpPr>
        <cdr:cNvPr id="2" name="Arc 1">
          <a:extLst xmlns:a="http://schemas.openxmlformats.org/drawingml/2006/main">
            <a:ext uri="{FF2B5EF4-FFF2-40B4-BE49-F238E27FC236}">
              <a16:creationId xmlns:a16="http://schemas.microsoft.com/office/drawing/2014/main" id="{A0F24112-2256-4FF4-83FE-714E2A96D4CE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150203" y="131394"/>
          <a:ext cx="2202232" cy="2202232"/>
        </a:xfrm>
        <a:prstGeom xmlns:a="http://schemas.openxmlformats.org/drawingml/2006/main" prst="arc">
          <a:avLst>
            <a:gd name="adj1" fmla="val 18144629"/>
            <a:gd name="adj2" fmla="val 19509392"/>
          </a:avLst>
        </a:prstGeom>
        <a:ln xmlns:a="http://schemas.openxmlformats.org/drawingml/2006/main">
          <a:solidFill>
            <a:schemeClr val="tx1"/>
          </a:solidFill>
          <a:head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0.00291</cdr:x>
      <cdr:y>0</cdr:y>
    </cdr:from>
    <cdr:to>
      <cdr:x>0.51476</cdr:x>
      <cdr:y>0.11805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BB02DC0A-7BBA-4776-8CC6-7971FEDB4FF6}"/>
            </a:ext>
          </a:extLst>
        </cdr:cNvPr>
        <cdr:cNvSpPr txBox="1"/>
      </cdr:nvSpPr>
      <cdr:spPr>
        <a:xfrm xmlns:a="http://schemas.openxmlformats.org/drawingml/2006/main">
          <a:off x="5220" y="0"/>
          <a:ext cx="918200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800">
              <a:latin typeface="Consolas" panose="020B0609020204030204" pitchFamily="49" charset="0"/>
            </a:rPr>
            <a:t>A phase P,N,Z</a:t>
          </a:r>
        </a:p>
      </cdr:txBody>
    </cdr:sp>
  </cdr:relSizeAnchor>
  <cdr:relSizeAnchor xmlns:cdr="http://schemas.openxmlformats.org/drawingml/2006/chartDrawing">
    <cdr:from>
      <cdr:x>0</cdr:x>
      <cdr:y>0.85302</cdr:y>
    </cdr:from>
    <cdr:to>
      <cdr:x>0.17504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FC32921-85C1-4CC1-BE59-FFC99465FBF9}"/>
            </a:ext>
          </a:extLst>
        </cdr:cNvPr>
        <cdr:cNvSpPr txBox="1"/>
      </cdr:nvSpPr>
      <cdr:spPr>
        <a:xfrm xmlns:a="http://schemas.openxmlformats.org/drawingml/2006/main">
          <a:off x="0" y="1535440"/>
          <a:ext cx="315048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7030A0"/>
              </a:solidFill>
            </a:rPr>
            <a:t>A</a:t>
          </a:r>
          <a:r>
            <a:rPr lang="en-US" sz="1100" baseline="-25000">
              <a:solidFill>
                <a:srgbClr val="7030A0"/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0.41136</cdr:x>
      <cdr:y>0.85302</cdr:y>
    </cdr:from>
    <cdr:to>
      <cdr:x>0.58639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B7F5F19-0918-4B9D-82E3-630F7A621BF1}"/>
            </a:ext>
          </a:extLst>
        </cdr:cNvPr>
        <cdr:cNvSpPr txBox="1"/>
      </cdr:nvSpPr>
      <cdr:spPr>
        <a:xfrm xmlns:a="http://schemas.openxmlformats.org/drawingml/2006/main">
          <a:off x="740399" y="1535440"/>
          <a:ext cx="315049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accent6">
                  <a:lumMod val="75000"/>
                </a:schemeClr>
              </a:solidFill>
            </a:rPr>
            <a:t>A</a:t>
          </a:r>
          <a:r>
            <a:rPr lang="en-US" sz="1100" baseline="-25000">
              <a:solidFill>
                <a:schemeClr val="accent6">
                  <a:lumMod val="75000"/>
                </a:schemeClr>
              </a:solidFill>
            </a:rPr>
            <a:t>2</a:t>
          </a:r>
        </a:p>
      </cdr:txBody>
    </cdr:sp>
  </cdr:relSizeAnchor>
  <cdr:relSizeAnchor xmlns:cdr="http://schemas.openxmlformats.org/drawingml/2006/chartDrawing">
    <cdr:from>
      <cdr:x>0.82555</cdr:x>
      <cdr:y>0.85302</cdr:y>
    </cdr:from>
    <cdr:to>
      <cdr:x>1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181E30E-8205-47F1-8054-3972889A79EF}"/>
            </a:ext>
          </a:extLst>
        </cdr:cNvPr>
        <cdr:cNvSpPr txBox="1"/>
      </cdr:nvSpPr>
      <cdr:spPr>
        <a:xfrm xmlns:a="http://schemas.openxmlformats.org/drawingml/2006/main">
          <a:off x="1485904" y="1535440"/>
          <a:ext cx="313997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8B814F"/>
              </a:solidFill>
            </a:rPr>
            <a:t>A</a:t>
          </a:r>
          <a:r>
            <a:rPr lang="en-US" sz="1100" baseline="-25000">
              <a:solidFill>
                <a:srgbClr val="8B814F"/>
              </a:solidFill>
            </a:rPr>
            <a:t>0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0.0596</cdr:x>
      <cdr:y>0.05214</cdr:y>
    </cdr:from>
    <cdr:to>
      <cdr:x>0.93351</cdr:x>
      <cdr:y>0.92604</cdr:y>
    </cdr:to>
    <cdr:sp macro="" textlink="">
      <cdr:nvSpPr>
        <cdr:cNvPr id="2" name="Arc 1">
          <a:extLst xmlns:a="http://schemas.openxmlformats.org/drawingml/2006/main">
            <a:ext uri="{FF2B5EF4-FFF2-40B4-BE49-F238E27FC236}">
              <a16:creationId xmlns:a16="http://schemas.microsoft.com/office/drawing/2014/main" id="{A0F24112-2256-4FF4-83FE-714E2A96D4CE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150203" y="131394"/>
          <a:ext cx="2202232" cy="2202232"/>
        </a:xfrm>
        <a:prstGeom xmlns:a="http://schemas.openxmlformats.org/drawingml/2006/main" prst="arc">
          <a:avLst>
            <a:gd name="adj1" fmla="val 18144629"/>
            <a:gd name="adj2" fmla="val 19509392"/>
          </a:avLst>
        </a:prstGeom>
        <a:ln xmlns:a="http://schemas.openxmlformats.org/drawingml/2006/main">
          <a:solidFill>
            <a:schemeClr val="tx1"/>
          </a:solidFill>
          <a:head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0.00291</cdr:x>
      <cdr:y>0</cdr:y>
    </cdr:from>
    <cdr:to>
      <cdr:x>0.51476</cdr:x>
      <cdr:y>0.11805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BB02DC0A-7BBA-4776-8CC6-7971FEDB4FF6}"/>
            </a:ext>
          </a:extLst>
        </cdr:cNvPr>
        <cdr:cNvSpPr txBox="1"/>
      </cdr:nvSpPr>
      <cdr:spPr>
        <a:xfrm xmlns:a="http://schemas.openxmlformats.org/drawingml/2006/main">
          <a:off x="5220" y="0"/>
          <a:ext cx="918200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800">
              <a:latin typeface="Consolas" panose="020B0609020204030204" pitchFamily="49" charset="0"/>
            </a:rPr>
            <a:t>B phase P,N,Z</a:t>
          </a:r>
        </a:p>
      </cdr:txBody>
    </cdr:sp>
  </cdr:relSizeAnchor>
  <cdr:relSizeAnchor xmlns:cdr="http://schemas.openxmlformats.org/drawingml/2006/chartDrawing">
    <cdr:from>
      <cdr:x>0</cdr:x>
      <cdr:y>0.85302</cdr:y>
    </cdr:from>
    <cdr:to>
      <cdr:x>0.17504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FC32921-85C1-4CC1-BE59-FFC99465FBF9}"/>
            </a:ext>
          </a:extLst>
        </cdr:cNvPr>
        <cdr:cNvSpPr txBox="1"/>
      </cdr:nvSpPr>
      <cdr:spPr>
        <a:xfrm xmlns:a="http://schemas.openxmlformats.org/drawingml/2006/main">
          <a:off x="0" y="1535440"/>
          <a:ext cx="315048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7030A0"/>
              </a:solidFill>
            </a:rPr>
            <a:t>B</a:t>
          </a:r>
          <a:r>
            <a:rPr lang="en-US" sz="1100" baseline="-25000">
              <a:solidFill>
                <a:srgbClr val="7030A0"/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0.41136</cdr:x>
      <cdr:y>0.85302</cdr:y>
    </cdr:from>
    <cdr:to>
      <cdr:x>0.58639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B7F5F19-0918-4B9D-82E3-630F7A621BF1}"/>
            </a:ext>
          </a:extLst>
        </cdr:cNvPr>
        <cdr:cNvSpPr txBox="1"/>
      </cdr:nvSpPr>
      <cdr:spPr>
        <a:xfrm xmlns:a="http://schemas.openxmlformats.org/drawingml/2006/main">
          <a:off x="740399" y="1535440"/>
          <a:ext cx="315049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accent6">
                  <a:lumMod val="75000"/>
                </a:schemeClr>
              </a:solidFill>
            </a:rPr>
            <a:t>B</a:t>
          </a:r>
          <a:r>
            <a:rPr lang="en-US" sz="1100" baseline="-25000">
              <a:solidFill>
                <a:schemeClr val="accent6">
                  <a:lumMod val="75000"/>
                </a:schemeClr>
              </a:solidFill>
            </a:rPr>
            <a:t>2</a:t>
          </a:r>
        </a:p>
      </cdr:txBody>
    </cdr:sp>
  </cdr:relSizeAnchor>
  <cdr:relSizeAnchor xmlns:cdr="http://schemas.openxmlformats.org/drawingml/2006/chartDrawing">
    <cdr:from>
      <cdr:x>0.82555</cdr:x>
      <cdr:y>0.85302</cdr:y>
    </cdr:from>
    <cdr:to>
      <cdr:x>0.9968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181E30E-8205-47F1-8054-3972889A79EF}"/>
            </a:ext>
          </a:extLst>
        </cdr:cNvPr>
        <cdr:cNvSpPr txBox="1"/>
      </cdr:nvSpPr>
      <cdr:spPr>
        <a:xfrm xmlns:a="http://schemas.openxmlformats.org/drawingml/2006/main">
          <a:off x="1490196" y="1535436"/>
          <a:ext cx="309124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aseline="0">
              <a:solidFill>
                <a:srgbClr val="8B814F"/>
              </a:solidFill>
            </a:rPr>
            <a:t>B</a:t>
          </a:r>
          <a:r>
            <a:rPr lang="en-US" sz="1100" baseline="-25000">
              <a:solidFill>
                <a:srgbClr val="8B814F"/>
              </a:solidFill>
            </a:rPr>
            <a:t>0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0.0596</cdr:x>
      <cdr:y>0.05214</cdr:y>
    </cdr:from>
    <cdr:to>
      <cdr:x>0.93351</cdr:x>
      <cdr:y>0.92604</cdr:y>
    </cdr:to>
    <cdr:sp macro="" textlink="">
      <cdr:nvSpPr>
        <cdr:cNvPr id="2" name="Arc 1">
          <a:extLst xmlns:a="http://schemas.openxmlformats.org/drawingml/2006/main">
            <a:ext uri="{FF2B5EF4-FFF2-40B4-BE49-F238E27FC236}">
              <a16:creationId xmlns:a16="http://schemas.microsoft.com/office/drawing/2014/main" id="{A0F24112-2256-4FF4-83FE-714E2A96D4CE}"/>
            </a:ext>
          </a:extLst>
        </cdr:cNvPr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150203" y="131394"/>
          <a:ext cx="2202232" cy="2202232"/>
        </a:xfrm>
        <a:prstGeom xmlns:a="http://schemas.openxmlformats.org/drawingml/2006/main" prst="arc">
          <a:avLst>
            <a:gd name="adj1" fmla="val 18144629"/>
            <a:gd name="adj2" fmla="val 19509392"/>
          </a:avLst>
        </a:prstGeom>
        <a:ln xmlns:a="http://schemas.openxmlformats.org/drawingml/2006/main">
          <a:solidFill>
            <a:schemeClr val="tx1"/>
          </a:solidFill>
          <a:head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0.32145</cdr:x>
      <cdr:y>0.50415</cdr:y>
    </cdr:from>
    <cdr:to>
      <cdr:x>0.82973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AABBB34-D235-42AC-A9D7-16098250BAB8}"/>
            </a:ext>
          </a:extLst>
        </cdr:cNvPr>
        <cdr:cNvSpPr txBox="1"/>
      </cdr:nvSpPr>
      <cdr:spPr>
        <a:xfrm xmlns:a="http://schemas.openxmlformats.org/drawingml/2006/main">
          <a:off x="578304" y="92972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0.15881</cdr:x>
      <cdr:y>0.51265</cdr:y>
    </cdr:from>
    <cdr:to>
      <cdr:x>0.66518</cdr:x>
      <cdr:y>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AD2F52C-2C0F-47B6-AAA8-8D6B457B5451}"/>
            </a:ext>
          </a:extLst>
        </cdr:cNvPr>
        <cdr:cNvSpPr txBox="1"/>
      </cdr:nvSpPr>
      <cdr:spPr>
        <a:xfrm xmlns:a="http://schemas.openxmlformats.org/drawingml/2006/main">
          <a:off x="286774" y="1587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0.0338</cdr:x>
      <cdr:y>0.8677</cdr:y>
    </cdr:from>
    <cdr:to>
      <cdr:x>0.90181</cdr:x>
      <cdr:y>0.98096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161DD713-DC14-48B5-8CC4-519EB32BD1F6}"/>
            </a:ext>
          </a:extLst>
        </cdr:cNvPr>
        <cdr:cNvSpPr txBox="1"/>
      </cdr:nvSpPr>
      <cdr:spPr>
        <a:xfrm xmlns:a="http://schemas.openxmlformats.org/drawingml/2006/main">
          <a:off x="61041" y="1628058"/>
          <a:ext cx="1567425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800">
            <a:latin typeface="Consolas" panose="020B0609020204030204" pitchFamily="49" charset="0"/>
          </a:endParaRPr>
        </a:p>
      </cdr:txBody>
    </cdr:sp>
  </cdr:relSizeAnchor>
  <cdr:relSizeAnchor xmlns:cdr="http://schemas.openxmlformats.org/drawingml/2006/chartDrawing">
    <cdr:from>
      <cdr:x>0.31172</cdr:x>
      <cdr:y>0</cdr:y>
    </cdr:from>
    <cdr:to>
      <cdr:x>0.84882</cdr:x>
      <cdr:y>0.11805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73DC5889-C7EB-4D96-9CFE-4D271A73A34A}"/>
            </a:ext>
          </a:extLst>
        </cdr:cNvPr>
        <cdr:cNvSpPr txBox="1"/>
      </cdr:nvSpPr>
      <cdr:spPr>
        <a:xfrm xmlns:a="http://schemas.openxmlformats.org/drawingml/2006/main">
          <a:off x="560011" y="0"/>
          <a:ext cx="964911" cy="21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FF0000"/>
              </a:solidFill>
              <a:latin typeface="Consolas" panose="020B0609020204030204" pitchFamily="49" charset="0"/>
            </a:rPr>
            <a:t>A</a:t>
          </a:r>
          <a:r>
            <a:rPr lang="en-US" sz="800">
              <a:latin typeface="Consolas" panose="020B0609020204030204" pitchFamily="49" charset="0"/>
            </a:rPr>
            <a:t> + </a:t>
          </a:r>
          <a:r>
            <a:rPr lang="en-US" sz="800">
              <a:solidFill>
                <a:srgbClr val="FFFF00"/>
              </a:solidFill>
              <a:latin typeface="Consolas" panose="020B0609020204030204" pitchFamily="49" charset="0"/>
            </a:rPr>
            <a:t>B</a:t>
          </a:r>
          <a:r>
            <a:rPr lang="en-US" sz="800">
              <a:latin typeface="Consolas" panose="020B0609020204030204" pitchFamily="49" charset="0"/>
            </a:rPr>
            <a:t> + </a:t>
          </a:r>
          <a:r>
            <a:rPr lang="en-US" sz="800">
              <a:solidFill>
                <a:srgbClr val="0070C0"/>
              </a:solidFill>
              <a:latin typeface="Consolas" panose="020B0609020204030204" pitchFamily="49" charset="0"/>
            </a:rPr>
            <a:t>C</a:t>
          </a:r>
          <a:r>
            <a:rPr lang="en-US" sz="800">
              <a:solidFill>
                <a:schemeClr val="tx1"/>
              </a:solidFill>
              <a:latin typeface="Consolas" panose="020B0609020204030204" pitchFamily="49" charset="0"/>
            </a:rPr>
            <a:t> = 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ltiertech.com/polar-plot-exce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deology.atlassian.net/l/c/w7g9XwzA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6805D-9BBD-4265-B589-8EFC3A71051B}">
  <dimension ref="A1:L39"/>
  <sheetViews>
    <sheetView topLeftCell="A7" zoomScaleNormal="100" workbookViewId="0">
      <selection activeCell="C42" sqref="C42"/>
    </sheetView>
  </sheetViews>
  <sheetFormatPr defaultColWidth="10.7109375" defaultRowHeight="15" customHeight="1" x14ac:dyDescent="0.2"/>
  <cols>
    <col min="1" max="16384" width="10.7109375" style="1"/>
  </cols>
  <sheetData>
    <row r="1" spans="1:12" ht="15" customHeight="1" x14ac:dyDescent="0.25">
      <c r="B1" s="4">
        <v>0.2</v>
      </c>
      <c r="C1" s="4">
        <v>0.3</v>
      </c>
      <c r="D1" s="4">
        <v>0.4</v>
      </c>
      <c r="E1" s="4">
        <v>0.5</v>
      </c>
      <c r="F1" s="4">
        <v>0.6</v>
      </c>
      <c r="G1" s="4">
        <v>0.7</v>
      </c>
      <c r="H1" s="4">
        <v>0.8</v>
      </c>
      <c r="I1" s="4">
        <v>0.9</v>
      </c>
      <c r="J1" s="4">
        <v>1</v>
      </c>
      <c r="L1" s="3" t="s">
        <v>46</v>
      </c>
    </row>
    <row r="2" spans="1:12" ht="15" customHeight="1" x14ac:dyDescent="0.2">
      <c r="A2" s="1">
        <v>15</v>
      </c>
      <c r="B2" s="2">
        <v>1</v>
      </c>
      <c r="C2" s="2">
        <v>1</v>
      </c>
      <c r="D2" s="2">
        <v>1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</row>
    <row r="3" spans="1:12" ht="15" customHeight="1" x14ac:dyDescent="0.2">
      <c r="A3" s="1">
        <v>30</v>
      </c>
      <c r="B3" s="2">
        <v>1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</row>
    <row r="4" spans="1:12" ht="15" customHeight="1" x14ac:dyDescent="0.2">
      <c r="A4" s="1">
        <v>45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</row>
    <row r="5" spans="1:12" ht="15" customHeight="1" x14ac:dyDescent="0.2">
      <c r="A5" s="1">
        <v>60</v>
      </c>
      <c r="B5" s="2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</row>
    <row r="6" spans="1:12" ht="15" customHeight="1" x14ac:dyDescent="0.2">
      <c r="A6" s="1">
        <v>75</v>
      </c>
      <c r="B6" s="2"/>
      <c r="C6" s="2"/>
      <c r="D6" s="2"/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</row>
    <row r="7" spans="1:12" ht="15" customHeight="1" x14ac:dyDescent="0.2">
      <c r="A7" s="1">
        <v>90</v>
      </c>
      <c r="B7" s="2"/>
      <c r="C7" s="2"/>
      <c r="D7" s="2"/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</row>
    <row r="8" spans="1:12" ht="15" customHeight="1" x14ac:dyDescent="0.2">
      <c r="A8" s="1">
        <v>105</v>
      </c>
      <c r="B8" s="2"/>
      <c r="C8" s="2"/>
      <c r="D8" s="2"/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</row>
    <row r="9" spans="1:12" ht="15" customHeight="1" x14ac:dyDescent="0.2">
      <c r="A9" s="1">
        <v>120</v>
      </c>
      <c r="B9" s="2"/>
      <c r="C9" s="2"/>
      <c r="D9" s="2"/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</row>
    <row r="10" spans="1:12" ht="15" customHeight="1" x14ac:dyDescent="0.2">
      <c r="A10" s="1">
        <v>135</v>
      </c>
      <c r="B10" s="2"/>
      <c r="C10" s="2"/>
      <c r="D10" s="2"/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</row>
    <row r="11" spans="1:12" ht="15" customHeight="1" x14ac:dyDescent="0.2">
      <c r="A11" s="1">
        <v>150</v>
      </c>
      <c r="B11" s="2"/>
      <c r="C11" s="2"/>
      <c r="D11" s="2"/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</row>
    <row r="12" spans="1:12" ht="15" customHeight="1" x14ac:dyDescent="0.2">
      <c r="A12" s="1">
        <v>165</v>
      </c>
      <c r="B12" s="2"/>
      <c r="C12" s="2"/>
      <c r="D12" s="2"/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</row>
    <row r="13" spans="1:12" ht="15" customHeight="1" x14ac:dyDescent="0.2">
      <c r="A13" s="1">
        <v>180</v>
      </c>
      <c r="B13" s="2"/>
      <c r="C13" s="2"/>
      <c r="D13" s="2"/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</row>
    <row r="14" spans="1:12" ht="15" customHeight="1" x14ac:dyDescent="0.2">
      <c r="A14" s="1">
        <v>195</v>
      </c>
      <c r="B14" s="2"/>
      <c r="C14" s="2"/>
      <c r="D14" s="2"/>
      <c r="E14" s="2"/>
      <c r="F14" s="2"/>
      <c r="G14" s="2"/>
      <c r="H14" s="2">
        <v>1</v>
      </c>
      <c r="I14" s="2">
        <v>1</v>
      </c>
      <c r="J14" s="2">
        <v>1</v>
      </c>
    </row>
    <row r="15" spans="1:12" ht="15" customHeight="1" x14ac:dyDescent="0.2">
      <c r="A15" s="1">
        <v>210</v>
      </c>
      <c r="B15" s="2"/>
      <c r="C15" s="2"/>
      <c r="D15" s="2"/>
      <c r="E15" s="2"/>
      <c r="F15" s="2"/>
      <c r="G15" s="2"/>
      <c r="H15" s="2">
        <v>1</v>
      </c>
      <c r="I15" s="2">
        <v>1</v>
      </c>
      <c r="J15" s="2">
        <v>1</v>
      </c>
    </row>
    <row r="16" spans="1:12" ht="15" customHeight="1" x14ac:dyDescent="0.2">
      <c r="A16" s="1">
        <v>225</v>
      </c>
      <c r="B16" s="2"/>
      <c r="C16" s="2"/>
      <c r="D16" s="2"/>
      <c r="E16" s="2"/>
      <c r="F16" s="2"/>
      <c r="G16" s="2"/>
      <c r="H16" s="2">
        <v>1</v>
      </c>
      <c r="I16" s="2">
        <v>1</v>
      </c>
      <c r="J16" s="2">
        <v>1</v>
      </c>
    </row>
    <row r="17" spans="1:10" ht="15" customHeight="1" x14ac:dyDescent="0.2">
      <c r="A17" s="1">
        <v>240</v>
      </c>
      <c r="B17" s="2"/>
      <c r="C17" s="2"/>
      <c r="D17" s="2"/>
      <c r="E17" s="2"/>
      <c r="F17" s="2"/>
      <c r="G17" s="2"/>
      <c r="H17" s="2">
        <v>1</v>
      </c>
      <c r="I17" s="2">
        <v>1</v>
      </c>
      <c r="J17" s="2">
        <v>1</v>
      </c>
    </row>
    <row r="18" spans="1:10" ht="15" customHeight="1" x14ac:dyDescent="0.2">
      <c r="A18" s="1">
        <v>255</v>
      </c>
      <c r="B18" s="2"/>
      <c r="C18" s="2"/>
      <c r="D18" s="2"/>
      <c r="E18" s="2"/>
      <c r="F18" s="2"/>
      <c r="G18" s="2"/>
      <c r="H18" s="2">
        <v>1</v>
      </c>
      <c r="I18" s="2">
        <v>1</v>
      </c>
      <c r="J18" s="2">
        <v>1</v>
      </c>
    </row>
    <row r="19" spans="1:10" ht="15" customHeight="1" x14ac:dyDescent="0.2">
      <c r="A19" s="1">
        <v>270</v>
      </c>
      <c r="B19" s="2"/>
      <c r="C19" s="2"/>
      <c r="D19" s="2"/>
      <c r="E19" s="2"/>
      <c r="F19" s="2"/>
      <c r="G19" s="2"/>
      <c r="H19" s="2">
        <v>1</v>
      </c>
      <c r="I19" s="2">
        <v>1</v>
      </c>
      <c r="J19" s="2">
        <v>1</v>
      </c>
    </row>
    <row r="20" spans="1:10" ht="15" customHeight="1" x14ac:dyDescent="0.2">
      <c r="A20" s="1">
        <v>285</v>
      </c>
      <c r="B20" s="2"/>
      <c r="C20" s="2"/>
      <c r="D20" s="2"/>
      <c r="E20" s="2"/>
      <c r="F20" s="2"/>
      <c r="G20" s="2"/>
      <c r="H20" s="2">
        <v>1</v>
      </c>
      <c r="I20" s="2">
        <v>1</v>
      </c>
      <c r="J20" s="2">
        <v>1</v>
      </c>
    </row>
    <row r="21" spans="1:10" ht="15" customHeight="1" x14ac:dyDescent="0.2">
      <c r="A21" s="1">
        <v>300</v>
      </c>
      <c r="B21" s="2"/>
      <c r="C21" s="2"/>
      <c r="D21" s="2"/>
      <c r="E21" s="2"/>
      <c r="F21" s="2"/>
      <c r="G21" s="2"/>
      <c r="H21" s="2">
        <v>1</v>
      </c>
      <c r="I21" s="2">
        <v>1</v>
      </c>
      <c r="J21" s="2">
        <v>1</v>
      </c>
    </row>
    <row r="22" spans="1:10" ht="15" customHeight="1" x14ac:dyDescent="0.2">
      <c r="A22" s="1">
        <v>315</v>
      </c>
      <c r="B22" s="2"/>
      <c r="C22" s="2"/>
      <c r="D22" s="2"/>
      <c r="E22" s="2"/>
      <c r="F22" s="2"/>
      <c r="G22" s="2"/>
      <c r="H22" s="2">
        <v>1</v>
      </c>
      <c r="I22" s="2">
        <v>1</v>
      </c>
      <c r="J22" s="2">
        <v>1</v>
      </c>
    </row>
    <row r="23" spans="1:10" ht="15" customHeight="1" x14ac:dyDescent="0.2">
      <c r="A23" s="1">
        <v>330</v>
      </c>
      <c r="B23" s="2"/>
      <c r="C23" s="2"/>
      <c r="D23" s="2"/>
      <c r="E23" s="2"/>
      <c r="F23" s="2"/>
      <c r="G23" s="2"/>
      <c r="H23" s="2">
        <v>1</v>
      </c>
      <c r="I23" s="2">
        <v>1</v>
      </c>
      <c r="J23" s="2">
        <v>1</v>
      </c>
    </row>
    <row r="24" spans="1:10" ht="15" customHeight="1" x14ac:dyDescent="0.2">
      <c r="A24" s="1">
        <v>345</v>
      </c>
      <c r="B24" s="2"/>
      <c r="C24" s="2"/>
      <c r="D24" s="2"/>
      <c r="E24" s="2"/>
      <c r="F24" s="2"/>
      <c r="G24" s="2"/>
      <c r="H24" s="2">
        <v>1</v>
      </c>
      <c r="I24" s="2">
        <v>1</v>
      </c>
      <c r="J24" s="2">
        <v>1</v>
      </c>
    </row>
    <row r="25" spans="1:10" ht="15" customHeight="1" x14ac:dyDescent="0.2">
      <c r="A25" s="1">
        <v>360</v>
      </c>
      <c r="B25" s="2"/>
      <c r="C25" s="2"/>
      <c r="D25" s="2"/>
      <c r="E25" s="2"/>
      <c r="F25" s="2"/>
      <c r="G25" s="2"/>
      <c r="H25" s="2">
        <v>1</v>
      </c>
      <c r="I25" s="2">
        <v>1</v>
      </c>
      <c r="J25" s="2">
        <v>1</v>
      </c>
    </row>
    <row r="36" spans="2:7" ht="15" customHeight="1" x14ac:dyDescent="0.2">
      <c r="B36" s="169" t="s">
        <v>45</v>
      </c>
      <c r="C36" s="169"/>
      <c r="D36" s="169" t="s">
        <v>44</v>
      </c>
      <c r="E36" s="169"/>
      <c r="F36" s="169" t="s">
        <v>43</v>
      </c>
      <c r="G36" s="169"/>
    </row>
    <row r="37" spans="2:7" ht="15" customHeight="1" x14ac:dyDescent="0.2">
      <c r="B37" s="1">
        <v>0.46</v>
      </c>
      <c r="C37" s="1">
        <v>-25</v>
      </c>
      <c r="D37" s="1">
        <v>0.74</v>
      </c>
      <c r="E37" s="1">
        <v>-153</v>
      </c>
      <c r="F37" s="1">
        <v>0.24</v>
      </c>
      <c r="G37" s="1">
        <v>-261</v>
      </c>
    </row>
    <row r="38" spans="2:7" ht="15" customHeight="1" x14ac:dyDescent="0.2">
      <c r="B38" s="1">
        <v>0</v>
      </c>
      <c r="C38" s="1">
        <f>B37*COS(RADIANS(C37))</f>
        <v>0.41690158203685901</v>
      </c>
      <c r="D38" s="1">
        <v>0</v>
      </c>
      <c r="E38" s="1">
        <f>D37*COS(RADIANS(E37))</f>
        <v>-0.65934482789939219</v>
      </c>
      <c r="F38" s="1">
        <v>0</v>
      </c>
      <c r="G38" s="1">
        <f>F37*COS(RADIANS(G37))</f>
        <v>-3.7544271609655448E-2</v>
      </c>
    </row>
    <row r="39" spans="2:7" ht="15" customHeight="1" x14ac:dyDescent="0.2">
      <c r="B39" s="1">
        <v>0</v>
      </c>
      <c r="C39" s="1">
        <f>B37*SIN(RADIANS(C37))</f>
        <v>-0.19440440040072174</v>
      </c>
      <c r="D39" s="1">
        <v>0</v>
      </c>
      <c r="E39" s="1">
        <f>D37*SIN(RADIANS(E37))</f>
        <v>-0.33595296980726469</v>
      </c>
      <c r="F39" s="1">
        <v>0</v>
      </c>
      <c r="G39" s="1">
        <f>F37*SIN(RADIANS(G37))</f>
        <v>0.23704520174283303</v>
      </c>
    </row>
  </sheetData>
  <sheetProtection algorithmName="SHA-512" hashValue="is0XZ9Rwef8BXmtRYEDcdGRKGKV9slsi7cMM0pxvFDW23kZoJDRFqGZ6lWFgeE1AxBiiqkz61CsChFjvk2Dm5Q==" saltValue="B4S49ovCTsFP4PNbkEbA8w==" spinCount="100000" sheet="1" objects="1" scenarios="1"/>
  <mergeCells count="3">
    <mergeCell ref="B36:C36"/>
    <mergeCell ref="D36:E36"/>
    <mergeCell ref="F36:G36"/>
  </mergeCells>
  <hyperlinks>
    <hyperlink ref="L1" r:id="rId1" xr:uid="{8CE10127-665A-4057-A51B-91EAFD6522BE}"/>
  </hyperlinks>
  <pageMargins left="0.70866141732283472" right="0.70866141732283472" top="0.94488188976377963" bottom="0.74803149606299213" header="0.31496062992125984" footer="0.31496062992125984"/>
  <pageSetup paperSize="9" orientation="portrait" horizontalDpi="0" verticalDpi="0" r:id="rId2"/>
  <headerFooter>
    <oddHeader>&amp;L&amp;G</oddHeader>
    <oddFooter>&amp;L&amp;"Tahoma,Regular"&amp;10© 2016 Rod Hughes Consulting Pty Ltd
A.B.N. 64 137 442 089&amp;C&amp;"Tahoma,Regular"&amp;10&amp;A
Page &amp;P of &amp;N&amp;R&amp;"Tahoma,Regular"&amp;10&amp;F
&amp;D &amp;T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137"/>
  <sheetViews>
    <sheetView showGridLines="0" showRowColHeaders="0" tabSelected="1" zoomScale="89" zoomScaleNormal="89" zoomScalePageLayoutView="80" workbookViewId="0">
      <selection activeCell="C4" sqref="C4"/>
    </sheetView>
  </sheetViews>
  <sheetFormatPr defaultColWidth="10.7109375" defaultRowHeight="15" customHeight="1" x14ac:dyDescent="0.2"/>
  <cols>
    <col min="1" max="1" width="2.7109375" style="107" customWidth="1"/>
    <col min="2" max="2" width="6.7109375" style="107" customWidth="1"/>
    <col min="3" max="3" width="13.7109375" style="106" customWidth="1"/>
    <col min="4" max="4" width="10.7109375" style="106" customWidth="1"/>
    <col min="5" max="5" width="3.28515625" style="106" customWidth="1"/>
    <col min="6" max="6" width="8" style="106" customWidth="1"/>
    <col min="7" max="7" width="13.7109375" style="106" customWidth="1"/>
    <col min="8" max="8" width="10.7109375" style="106" customWidth="1"/>
    <col min="9" max="9" width="2.42578125" style="106" bestFit="1" customWidth="1"/>
    <col min="10" max="10" width="6.7109375" style="106" customWidth="1"/>
    <col min="11" max="11" width="13.7109375" style="106" customWidth="1"/>
    <col min="12" max="12" width="10.7109375" style="106" customWidth="1"/>
    <col min="13" max="13" width="2.42578125" style="106" bestFit="1" customWidth="1"/>
    <col min="14" max="14" width="6.7109375" style="106" customWidth="1"/>
    <col min="15" max="15" width="13.7109375" style="106" customWidth="1"/>
    <col min="16" max="16" width="10.7109375" style="106" customWidth="1"/>
    <col min="17" max="17" width="5.140625" style="106" customWidth="1"/>
    <col min="18" max="18" width="6.7109375" style="106" customWidth="1"/>
    <col min="19" max="19" width="13.7109375" style="166" customWidth="1"/>
    <col min="20" max="20" width="10.7109375" style="166" customWidth="1"/>
    <col min="21" max="21" width="3" style="166" customWidth="1"/>
    <col min="22" max="22" width="10.85546875" style="106" bestFit="1" customWidth="1"/>
    <col min="23" max="24" width="10.7109375" style="106" bestFit="1" customWidth="1"/>
    <col min="25" max="25" width="7.7109375" style="106" customWidth="1"/>
    <col min="26" max="26" width="6" style="107" customWidth="1"/>
    <col min="27" max="27" width="6" style="107" bestFit="1" customWidth="1"/>
    <col min="28" max="28" width="4.85546875" style="107" bestFit="1" customWidth="1"/>
    <col min="29" max="29" width="5.7109375" style="107" bestFit="1" customWidth="1"/>
    <col min="30" max="30" width="6.7109375" style="107" bestFit="1" customWidth="1"/>
    <col min="31" max="31" width="5.7109375" style="107" bestFit="1" customWidth="1"/>
    <col min="32" max="33" width="6" style="107" bestFit="1" customWidth="1"/>
    <col min="34" max="34" width="5" style="107" bestFit="1" customWidth="1"/>
    <col min="35" max="35" width="4.85546875" style="107" customWidth="1"/>
    <col min="36" max="36" width="3.28515625" style="107" bestFit="1" customWidth="1"/>
    <col min="37" max="37" width="2.140625" style="107" bestFit="1" customWidth="1"/>
    <col min="38" max="38" width="4.85546875" style="108" bestFit="1" customWidth="1"/>
    <col min="39" max="39" width="2.140625" style="108" bestFit="1" customWidth="1"/>
    <col min="40" max="40" width="5.7109375" style="108" bestFit="1" customWidth="1"/>
    <col min="41" max="41" width="2.140625" style="108" bestFit="1" customWidth="1"/>
    <col min="42" max="42" width="4.85546875" style="108" bestFit="1" customWidth="1"/>
    <col min="43" max="43" width="7.140625" style="108" customWidth="1"/>
    <col min="44" max="44" width="3.28515625" style="108" bestFit="1" customWidth="1"/>
    <col min="45" max="45" width="2.140625" style="108" bestFit="1" customWidth="1"/>
    <col min="46" max="46" width="4.85546875" style="108" bestFit="1" customWidth="1"/>
    <col min="47" max="47" width="2.140625" style="108" bestFit="1" customWidth="1"/>
    <col min="48" max="48" width="4.85546875" style="107" bestFit="1" customWidth="1"/>
    <col min="49" max="49" width="2.140625" style="107" bestFit="1" customWidth="1"/>
    <col min="50" max="50" width="4.85546875" style="107" bestFit="1" customWidth="1"/>
    <col min="51" max="51" width="10.7109375" style="107"/>
    <col min="52" max="52" width="3.140625" style="107" customWidth="1"/>
    <col min="53" max="16384" width="10.7109375" style="107"/>
  </cols>
  <sheetData>
    <row r="1" spans="1:47" ht="15" customHeight="1" thickBot="1" x14ac:dyDescent="0.25">
      <c r="A1" s="100"/>
      <c r="B1" s="101"/>
      <c r="C1" s="102"/>
      <c r="D1" s="102"/>
      <c r="E1" s="102"/>
      <c r="F1" s="102"/>
      <c r="G1" s="102"/>
      <c r="H1" s="103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4"/>
      <c r="T1" s="104"/>
      <c r="U1" s="105"/>
    </row>
    <row r="2" spans="1:47" ht="15" customHeight="1" thickTop="1" x14ac:dyDescent="0.2">
      <c r="A2" s="109"/>
      <c r="B2" s="171" t="s">
        <v>20</v>
      </c>
      <c r="C2" s="172"/>
      <c r="D2" s="173"/>
      <c r="E2" s="110"/>
      <c r="F2" s="110"/>
      <c r="G2" s="111" t="s">
        <v>49</v>
      </c>
      <c r="H2" s="112" t="s">
        <v>41</v>
      </c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3"/>
      <c r="T2" s="113"/>
      <c r="U2" s="114"/>
    </row>
    <row r="3" spans="1:47" ht="15" customHeight="1" x14ac:dyDescent="0.2">
      <c r="A3" s="109"/>
      <c r="B3" s="115" t="s">
        <v>21</v>
      </c>
      <c r="C3" s="116" t="s">
        <v>3</v>
      </c>
      <c r="D3" s="117" t="s">
        <v>4</v>
      </c>
      <c r="E3" s="110"/>
      <c r="F3" s="110"/>
      <c r="G3" s="111" t="s">
        <v>48</v>
      </c>
      <c r="H3" s="112" t="s">
        <v>47</v>
      </c>
      <c r="I3" s="110"/>
      <c r="J3" s="178">
        <v>150</v>
      </c>
      <c r="K3" s="178"/>
      <c r="L3" s="110"/>
      <c r="M3" s="110"/>
      <c r="N3" s="110"/>
      <c r="O3" s="110"/>
      <c r="P3" s="110"/>
      <c r="Q3" s="110"/>
      <c r="R3" s="110"/>
      <c r="S3" s="113"/>
      <c r="T3" s="113"/>
      <c r="U3" s="114"/>
    </row>
    <row r="4" spans="1:47" ht="15" customHeight="1" x14ac:dyDescent="0.2">
      <c r="A4" s="109"/>
      <c r="B4" s="118" t="s">
        <v>0</v>
      </c>
      <c r="C4" s="119">
        <v>165</v>
      </c>
      <c r="D4" s="120">
        <v>-18</v>
      </c>
      <c r="E4" s="110"/>
      <c r="F4" s="110"/>
      <c r="G4" s="179" t="s">
        <v>65</v>
      </c>
      <c r="H4" s="179"/>
      <c r="I4" s="110"/>
      <c r="J4" s="179">
        <f>Suggest</f>
        <v>170</v>
      </c>
      <c r="K4" s="179"/>
      <c r="L4" s="110"/>
      <c r="M4" s="110"/>
      <c r="N4" s="110"/>
      <c r="O4" s="110"/>
      <c r="P4" s="110"/>
      <c r="Q4" s="110"/>
      <c r="R4" s="110"/>
      <c r="S4" s="113"/>
      <c r="T4" s="113"/>
      <c r="U4" s="114"/>
    </row>
    <row r="5" spans="1:47" ht="15" customHeight="1" x14ac:dyDescent="0.2">
      <c r="A5" s="109"/>
      <c r="B5" s="121" t="s">
        <v>1</v>
      </c>
      <c r="C5" s="122">
        <v>90</v>
      </c>
      <c r="D5" s="123">
        <v>-120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3"/>
      <c r="T5" s="113"/>
      <c r="U5" s="114"/>
    </row>
    <row r="6" spans="1:47" ht="15" customHeight="1" thickBot="1" x14ac:dyDescent="0.25">
      <c r="A6" s="109"/>
      <c r="B6" s="124" t="s">
        <v>2</v>
      </c>
      <c r="C6" s="125">
        <v>130</v>
      </c>
      <c r="D6" s="126">
        <v>-209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3"/>
      <c r="T6" s="113"/>
      <c r="U6" s="114"/>
      <c r="V6" s="127"/>
    </row>
    <row r="7" spans="1:47" ht="15" customHeight="1" thickTop="1" x14ac:dyDescent="0.2">
      <c r="A7" s="109"/>
      <c r="B7" s="128" t="str">
        <f>PerUnit</f>
        <v>1 Per Unit = Magnitude 170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10"/>
      <c r="R7" s="170">
        <v>44222</v>
      </c>
      <c r="S7" s="170"/>
      <c r="T7" s="170"/>
      <c r="U7" s="114"/>
      <c r="V7" s="127"/>
    </row>
    <row r="8" spans="1:47" s="135" customFormat="1" ht="189" customHeight="1" x14ac:dyDescent="0.25">
      <c r="A8" s="129"/>
      <c r="B8" s="181"/>
      <c r="C8" s="181"/>
      <c r="D8" s="181"/>
      <c r="E8" s="130" t="s">
        <v>53</v>
      </c>
      <c r="F8" s="177"/>
      <c r="G8" s="177"/>
      <c r="H8" s="177"/>
      <c r="I8" s="131" t="s">
        <v>37</v>
      </c>
      <c r="J8" s="177"/>
      <c r="K8" s="177"/>
      <c r="L8" s="177"/>
      <c r="M8" s="131" t="s">
        <v>37</v>
      </c>
      <c r="N8" s="177"/>
      <c r="O8" s="177"/>
      <c r="P8" s="177"/>
      <c r="Q8" s="130" t="s">
        <v>53</v>
      </c>
      <c r="R8" s="186"/>
      <c r="S8" s="186"/>
      <c r="T8" s="186"/>
      <c r="U8" s="132"/>
      <c r="V8" s="133"/>
      <c r="W8" s="134"/>
      <c r="X8" s="134"/>
      <c r="Y8" s="134"/>
      <c r="AL8" s="136"/>
      <c r="AM8" s="136"/>
      <c r="AN8" s="136"/>
      <c r="AO8" s="136"/>
      <c r="AP8" s="136"/>
      <c r="AQ8" s="136"/>
      <c r="AR8" s="136"/>
      <c r="AS8" s="136"/>
      <c r="AT8" s="136"/>
      <c r="AU8" s="136"/>
    </row>
    <row r="9" spans="1:47" ht="15" customHeight="1" x14ac:dyDescent="0.2">
      <c r="A9" s="109"/>
      <c r="B9" s="12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3"/>
      <c r="T9" s="113"/>
      <c r="U9" s="114"/>
    </row>
    <row r="10" spans="1:47" ht="15" customHeight="1" x14ac:dyDescent="0.25">
      <c r="A10" s="109"/>
      <c r="B10" s="180" t="s">
        <v>28</v>
      </c>
      <c r="C10" s="180"/>
      <c r="D10" s="180"/>
      <c r="E10" s="110"/>
      <c r="F10" s="174" t="s">
        <v>29</v>
      </c>
      <c r="G10" s="174"/>
      <c r="H10" s="174"/>
      <c r="I10" s="128"/>
      <c r="J10" s="175" t="s">
        <v>30</v>
      </c>
      <c r="K10" s="175"/>
      <c r="L10" s="175"/>
      <c r="M10" s="128"/>
      <c r="N10" s="176" t="s">
        <v>31</v>
      </c>
      <c r="O10" s="176"/>
      <c r="P10" s="176"/>
      <c r="Q10" s="128"/>
      <c r="R10" s="187" t="str">
        <f>Neutral</f>
        <v>3I0 Neutral or Earth</v>
      </c>
      <c r="S10" s="187"/>
      <c r="T10" s="187"/>
      <c r="U10" s="137"/>
      <c r="V10" s="107"/>
      <c r="W10" s="107"/>
      <c r="X10" s="107"/>
      <c r="Y10" s="138"/>
      <c r="Z10" s="138"/>
      <c r="AA10" s="138"/>
    </row>
    <row r="11" spans="1:47" ht="15" customHeight="1" x14ac:dyDescent="0.25">
      <c r="A11" s="109"/>
      <c r="B11" s="139" t="s">
        <v>21</v>
      </c>
      <c r="C11" s="116" t="s">
        <v>3</v>
      </c>
      <c r="D11" s="116" t="s">
        <v>4</v>
      </c>
      <c r="E11" s="110"/>
      <c r="F11" s="140" t="s">
        <v>21</v>
      </c>
      <c r="G11" s="140" t="s">
        <v>25</v>
      </c>
      <c r="H11" s="140" t="s">
        <v>4</v>
      </c>
      <c r="I11" s="128"/>
      <c r="J11" s="141" t="s">
        <v>21</v>
      </c>
      <c r="K11" s="141" t="s">
        <v>25</v>
      </c>
      <c r="L11" s="141" t="s">
        <v>4</v>
      </c>
      <c r="M11" s="128"/>
      <c r="N11" s="142" t="s">
        <v>21</v>
      </c>
      <c r="O11" s="142" t="s">
        <v>25</v>
      </c>
      <c r="P11" s="142" t="s">
        <v>4</v>
      </c>
      <c r="Q11" s="128"/>
      <c r="R11" s="143" t="s">
        <v>21</v>
      </c>
      <c r="S11" s="143" t="s">
        <v>25</v>
      </c>
      <c r="T11" s="143" t="s">
        <v>4</v>
      </c>
      <c r="U11" s="137"/>
      <c r="V11" s="107"/>
      <c r="W11" s="107"/>
      <c r="X11" s="107"/>
      <c r="Y11" s="138"/>
      <c r="Z11" s="138"/>
      <c r="AA11" s="138"/>
      <c r="AI11" s="144"/>
    </row>
    <row r="12" spans="1:47" ht="14.25" x14ac:dyDescent="0.25">
      <c r="A12" s="109"/>
      <c r="B12" s="145" t="s">
        <v>0</v>
      </c>
      <c r="C12" s="146">
        <f>MagA</f>
        <v>0.97058823529411764</v>
      </c>
      <c r="D12" s="147">
        <f>AngA</f>
        <v>-18</v>
      </c>
      <c r="E12" s="128"/>
      <c r="F12" s="140" t="s">
        <v>55</v>
      </c>
      <c r="G12" s="148">
        <f>PosMagA</f>
        <v>0.70339674437688438</v>
      </c>
      <c r="H12" s="147">
        <f>PosAngA</f>
        <v>2.5504102488744338</v>
      </c>
      <c r="I12" s="128"/>
      <c r="J12" s="141" t="s">
        <v>56</v>
      </c>
      <c r="K12" s="148">
        <f>NegMagA</f>
        <v>0.30155465507930729</v>
      </c>
      <c r="L12" s="147">
        <f>NegAngA</f>
        <v>-42.056413674791138</v>
      </c>
      <c r="M12" s="128"/>
      <c r="N12" s="142" t="s">
        <v>57</v>
      </c>
      <c r="O12" s="148">
        <f>ZeroMagA</f>
        <v>0.12924739842642868</v>
      </c>
      <c r="P12" s="147">
        <f>ZeroAngA</f>
        <v>88.448249263159326</v>
      </c>
      <c r="Q12" s="128"/>
      <c r="R12" s="149" t="str">
        <f>ThreeZero</f>
        <v>3I0</v>
      </c>
      <c r="S12" s="150">
        <f>ThreeI0Mag</f>
        <v>0.38774219527928611</v>
      </c>
      <c r="T12" s="151">
        <f>ThreeI0Ang</f>
        <v>88.448249263159326</v>
      </c>
      <c r="U12" s="137"/>
      <c r="V12" s="107"/>
      <c r="W12" s="107"/>
      <c r="X12" s="107"/>
      <c r="Y12" s="138"/>
      <c r="Z12" s="138"/>
      <c r="AA12" s="138"/>
      <c r="AI12" s="106"/>
    </row>
    <row r="13" spans="1:47" ht="14.25" x14ac:dyDescent="0.25">
      <c r="A13" s="109"/>
      <c r="B13" s="152" t="s">
        <v>1</v>
      </c>
      <c r="C13" s="153">
        <f>MagB</f>
        <v>0.52941176470588236</v>
      </c>
      <c r="D13" s="154">
        <f>AngB</f>
        <v>-120</v>
      </c>
      <c r="E13" s="128"/>
      <c r="F13" s="140" t="s">
        <v>58</v>
      </c>
      <c r="G13" s="155">
        <f>PosMagB</f>
        <v>0.70337136706010428</v>
      </c>
      <c r="H13" s="154">
        <f>PosAngB</f>
        <v>-117.44958975112557</v>
      </c>
      <c r="I13" s="128"/>
      <c r="J13" s="141" t="s">
        <v>59</v>
      </c>
      <c r="K13" s="155">
        <f>NegMagB</f>
        <v>0.30155465507930729</v>
      </c>
      <c r="L13" s="154">
        <f>NegAngB</f>
        <v>77.943586325208855</v>
      </c>
      <c r="M13" s="128"/>
      <c r="N13" s="142" t="s">
        <v>60</v>
      </c>
      <c r="O13" s="155">
        <f>ZeroMagB</f>
        <v>0.12924739842642868</v>
      </c>
      <c r="P13" s="154">
        <f>ZeroAngB</f>
        <v>88.448249263159326</v>
      </c>
      <c r="Q13" s="128"/>
      <c r="R13" s="128"/>
      <c r="S13" s="128"/>
      <c r="T13" s="128"/>
      <c r="U13" s="137"/>
      <c r="V13" s="107"/>
      <c r="W13" s="107"/>
      <c r="X13" s="107"/>
      <c r="Y13" s="107"/>
      <c r="AI13" s="106"/>
    </row>
    <row r="14" spans="1:47" ht="15" customHeight="1" x14ac:dyDescent="0.2">
      <c r="A14" s="109"/>
      <c r="B14" s="156" t="s">
        <v>2</v>
      </c>
      <c r="C14" s="157">
        <f>MagC</f>
        <v>0.76470588235294112</v>
      </c>
      <c r="D14" s="158">
        <f>AngC</f>
        <v>151</v>
      </c>
      <c r="E14" s="128"/>
      <c r="F14" s="140" t="s">
        <v>61</v>
      </c>
      <c r="G14" s="159">
        <f>PosMagC</f>
        <v>0.70336119455085089</v>
      </c>
      <c r="H14" s="158">
        <f>PosAngC</f>
        <v>122.55041024887444</v>
      </c>
      <c r="I14" s="128"/>
      <c r="J14" s="141" t="s">
        <v>62</v>
      </c>
      <c r="K14" s="159">
        <f>NegMagC</f>
        <v>0.30155465507930729</v>
      </c>
      <c r="L14" s="158">
        <f>NegAngC</f>
        <v>-162.05641367479114</v>
      </c>
      <c r="M14" s="128"/>
      <c r="N14" s="142" t="s">
        <v>63</v>
      </c>
      <c r="O14" s="159">
        <f>ZeroMagC</f>
        <v>0.12924739842642868</v>
      </c>
      <c r="P14" s="158">
        <f>ZeroAngC</f>
        <v>88.448249263159326</v>
      </c>
      <c r="Q14" s="128"/>
      <c r="R14" s="110"/>
      <c r="S14" s="113"/>
      <c r="T14" s="113"/>
      <c r="U14" s="137"/>
      <c r="V14" s="107"/>
      <c r="W14" s="107"/>
      <c r="X14" s="107"/>
      <c r="Y14" s="107"/>
      <c r="AI14" s="106"/>
    </row>
    <row r="15" spans="1:47" ht="12.75" x14ac:dyDescent="0.25">
      <c r="A15" s="109"/>
      <c r="B15" s="128"/>
      <c r="C15" s="128"/>
      <c r="D15" s="128"/>
      <c r="E15" s="128"/>
      <c r="F15" s="182" t="str">
        <f>PosMag</f>
        <v>119.6 A</v>
      </c>
      <c r="G15" s="182"/>
      <c r="H15" s="182"/>
      <c r="I15" s="128"/>
      <c r="J15" s="183" t="str">
        <f>NegMag</f>
        <v>51.3 A</v>
      </c>
      <c r="K15" s="183"/>
      <c r="L15" s="183"/>
      <c r="M15" s="128"/>
      <c r="N15" s="184" t="str">
        <f>ZeroMag</f>
        <v>22 A</v>
      </c>
      <c r="O15" s="184"/>
      <c r="P15" s="184"/>
      <c r="Q15" s="128"/>
      <c r="R15" s="185" t="s">
        <v>54</v>
      </c>
      <c r="S15" s="185"/>
      <c r="T15" s="160" t="str">
        <f>IneutMag</f>
        <v>65.9 A</v>
      </c>
      <c r="U15" s="137"/>
      <c r="V15" s="107"/>
      <c r="W15" s="107"/>
      <c r="X15" s="107"/>
      <c r="Y15" s="107"/>
      <c r="AI15" s="106"/>
    </row>
    <row r="16" spans="1:47" ht="12.75" x14ac:dyDescent="0.25">
      <c r="A16" s="109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37"/>
      <c r="V16" s="107"/>
      <c r="W16" s="107"/>
      <c r="X16" s="107"/>
      <c r="Y16" s="107"/>
      <c r="AI16" s="106"/>
    </row>
    <row r="17" spans="1:21" ht="152.25" customHeight="1" x14ac:dyDescent="0.25">
      <c r="A17" s="161"/>
      <c r="B17" s="162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7"/>
      <c r="Q17" s="163"/>
      <c r="R17" s="167"/>
      <c r="S17" s="164"/>
      <c r="T17" s="168" t="s">
        <v>64</v>
      </c>
      <c r="U17" s="165"/>
    </row>
    <row r="100" spans="3:25" ht="15" customHeight="1" x14ac:dyDescent="0.25"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</row>
    <row r="101" spans="3:25" ht="15" customHeight="1" x14ac:dyDescent="0.25"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</row>
    <row r="102" spans="3:25" ht="15" customHeight="1" x14ac:dyDescent="0.25"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</row>
    <row r="103" spans="3:25" ht="15" customHeight="1" x14ac:dyDescent="0.25"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</row>
    <row r="104" spans="3:25" ht="15" customHeight="1" x14ac:dyDescent="0.25"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</row>
    <row r="105" spans="3:25" ht="15" customHeight="1" x14ac:dyDescent="0.25"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</row>
    <row r="106" spans="3:25" ht="15" customHeight="1" x14ac:dyDescent="0.25"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</row>
    <row r="107" spans="3:25" ht="15" customHeight="1" x14ac:dyDescent="0.25"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</row>
    <row r="108" spans="3:25" ht="15" customHeight="1" x14ac:dyDescent="0.25"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</row>
    <row r="109" spans="3:25" ht="15" customHeight="1" x14ac:dyDescent="0.25"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</row>
    <row r="110" spans="3:25" ht="15" customHeight="1" x14ac:dyDescent="0.25"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</row>
    <row r="111" spans="3:25" ht="15" customHeight="1" x14ac:dyDescent="0.25"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</row>
    <row r="112" spans="3:25" ht="15" customHeight="1" x14ac:dyDescent="0.25"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</row>
    <row r="113" spans="3:25" ht="15" customHeight="1" x14ac:dyDescent="0.25"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</row>
    <row r="114" spans="3:25" ht="15" customHeight="1" x14ac:dyDescent="0.25"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</row>
    <row r="115" spans="3:25" ht="15" customHeight="1" x14ac:dyDescent="0.25"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</row>
    <row r="116" spans="3:25" ht="15" customHeight="1" x14ac:dyDescent="0.25"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</row>
    <row r="117" spans="3:25" ht="15" customHeight="1" x14ac:dyDescent="0.25"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</row>
    <row r="118" spans="3:25" ht="15" customHeight="1" x14ac:dyDescent="0.25"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</row>
    <row r="119" spans="3:25" ht="15" customHeight="1" x14ac:dyDescent="0.25"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</row>
    <row r="120" spans="3:25" ht="15" customHeight="1" x14ac:dyDescent="0.25"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</row>
    <row r="121" spans="3:25" ht="15" customHeight="1" x14ac:dyDescent="0.25"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</row>
    <row r="122" spans="3:25" ht="15" customHeight="1" x14ac:dyDescent="0.25"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</row>
    <row r="123" spans="3:25" ht="15" customHeight="1" x14ac:dyDescent="0.25"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</row>
    <row r="124" spans="3:25" ht="15" customHeight="1" x14ac:dyDescent="0.25"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</row>
    <row r="125" spans="3:25" ht="15" customHeight="1" x14ac:dyDescent="0.25"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</row>
    <row r="126" spans="3:25" ht="15" customHeight="1" x14ac:dyDescent="0.25"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</row>
    <row r="127" spans="3:25" ht="15" customHeight="1" x14ac:dyDescent="0.25"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</row>
    <row r="128" spans="3:25" ht="15" customHeight="1" x14ac:dyDescent="0.25"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</row>
    <row r="129" spans="3:25" ht="15" customHeight="1" x14ac:dyDescent="0.25"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</row>
    <row r="130" spans="3:25" ht="15" customHeight="1" x14ac:dyDescent="0.25"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</row>
    <row r="131" spans="3:25" ht="15" customHeight="1" x14ac:dyDescent="0.25"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</row>
    <row r="132" spans="3:25" ht="15" customHeight="1" x14ac:dyDescent="0.25"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</row>
    <row r="133" spans="3:25" ht="15" customHeight="1" x14ac:dyDescent="0.25"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</row>
    <row r="134" spans="3:25" ht="15" customHeight="1" x14ac:dyDescent="0.25"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</row>
    <row r="135" spans="3:25" ht="15" customHeight="1" x14ac:dyDescent="0.25"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</row>
    <row r="136" spans="3:25" ht="15" customHeight="1" x14ac:dyDescent="0.25"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</row>
    <row r="137" spans="3:25" ht="15" customHeight="1" x14ac:dyDescent="0.25"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</row>
  </sheetData>
  <sheetProtection algorithmName="SHA-512" hashValue="FIi736vKOZgeuULdXYYuCKKgdeymkeCgp0+EsmjTJo7xQkaq5orifLL2tjnrh1Y1HQ77WcBHnAluUbOtKmZftg==" saltValue="E+JC4OFuIDaex2pf8sL7aw==" spinCount="100000" sheet="1" objects="1" scenarios="1"/>
  <mergeCells count="19">
    <mergeCell ref="F15:H15"/>
    <mergeCell ref="J15:L15"/>
    <mergeCell ref="N15:P15"/>
    <mergeCell ref="R15:S15"/>
    <mergeCell ref="R8:T8"/>
    <mergeCell ref="R10:T10"/>
    <mergeCell ref="R7:T7"/>
    <mergeCell ref="B2:D2"/>
    <mergeCell ref="F10:H10"/>
    <mergeCell ref="J10:L10"/>
    <mergeCell ref="N10:P10"/>
    <mergeCell ref="J8:L8"/>
    <mergeCell ref="N8:P8"/>
    <mergeCell ref="J3:K3"/>
    <mergeCell ref="J4:K4"/>
    <mergeCell ref="B10:D10"/>
    <mergeCell ref="B8:D8"/>
    <mergeCell ref="F8:H8"/>
    <mergeCell ref="G4:H4"/>
  </mergeCells>
  <conditionalFormatting sqref="J3:K3">
    <cfRule type="expression" dxfId="37" priority="21" stopIfTrue="1">
      <formula>$H$3="Auto"</formula>
    </cfRule>
    <cfRule type="expression" dxfId="36" priority="24">
      <formula>$J$3&lt;$J$4</formula>
    </cfRule>
  </conditionalFormatting>
  <conditionalFormatting sqref="G4">
    <cfRule type="expression" dxfId="35" priority="20">
      <formula>$H$3="Auto"</formula>
    </cfRule>
    <cfRule type="expression" dxfId="34" priority="23">
      <formula>$J$3&lt;$J$4</formula>
    </cfRule>
  </conditionalFormatting>
  <conditionalFormatting sqref="J4:K4">
    <cfRule type="expression" dxfId="33" priority="19" stopIfTrue="1">
      <formula>$H$3="Auto"</formula>
    </cfRule>
    <cfRule type="expression" dxfId="32" priority="22">
      <formula>$J$3&lt;$J$4</formula>
    </cfRule>
  </conditionalFormatting>
  <conditionalFormatting sqref="C13">
    <cfRule type="expression" dxfId="31" priority="11">
      <formula>$C$13&gt;1</formula>
    </cfRule>
  </conditionalFormatting>
  <conditionalFormatting sqref="C12">
    <cfRule type="expression" dxfId="30" priority="10">
      <formula>$C$12&gt;1</formula>
    </cfRule>
  </conditionalFormatting>
  <conditionalFormatting sqref="C14">
    <cfRule type="expression" dxfId="29" priority="9">
      <formula>$C$14&gt;1</formula>
    </cfRule>
  </conditionalFormatting>
  <conditionalFormatting sqref="C4">
    <cfRule type="expression" dxfId="28" priority="25">
      <formula>H2="Volts"</formula>
    </cfRule>
    <cfRule type="expression" dxfId="27" priority="26">
      <formula>H2="Amps"</formula>
    </cfRule>
  </conditionalFormatting>
  <conditionalFormatting sqref="C5">
    <cfRule type="expression" dxfId="26" priority="27">
      <formula>H2="Volts"</formula>
    </cfRule>
    <cfRule type="expression" dxfId="25" priority="28">
      <formula>H2="Amps"</formula>
    </cfRule>
  </conditionalFormatting>
  <conditionalFormatting sqref="C6">
    <cfRule type="expression" dxfId="24" priority="29">
      <formula>H2="Volts"</formula>
    </cfRule>
    <cfRule type="expression" dxfId="23" priority="30">
      <formula>H2="Amps"</formula>
    </cfRule>
  </conditionalFormatting>
  <conditionalFormatting sqref="T15">
    <cfRule type="expression" dxfId="22" priority="31">
      <formula>$H$2="Volts"</formula>
    </cfRule>
    <cfRule type="expression" dxfId="21" priority="32">
      <formula>$H$2="Amps"</formula>
    </cfRule>
    <cfRule type="expression" dxfId="20" priority="33">
      <formula>$H$2="Amps"</formula>
    </cfRule>
  </conditionalFormatting>
  <dataValidations count="2">
    <dataValidation type="list" allowBlank="1" showInputMessage="1" showErrorMessage="1" sqref="H3" xr:uid="{00000000-0002-0000-0100-000000000000}">
      <formula1>"Auto,Manual"</formula1>
    </dataValidation>
    <dataValidation type="list" allowBlank="1" showInputMessage="1" showErrorMessage="1" sqref="H2" xr:uid="{00000000-0002-0000-0100-000001000000}">
      <formula1>"Amps,Volts"</formula1>
    </dataValidation>
  </dataValidations>
  <hyperlinks>
    <hyperlink ref="T17" r:id="rId1" display="Source" xr:uid="{2068216B-0261-45DC-B665-0E3BDBFD3E77}"/>
  </hyperlinks>
  <pageMargins left="0.70866141732283472" right="0.70866141732283472" top="0.94488188976377963" bottom="0.74803149606299213" header="0.31496062992125984" footer="0.31496062992125984"/>
  <pageSetup paperSize="9" scale="74" orientation="landscape" horizontalDpi="0" verticalDpi="0" r:id="rId2"/>
  <headerFooter>
    <oddHeader>&amp;L&amp;G</oddHeader>
    <oddFooter>&amp;L&amp;"Tahoma,Regular"&amp;10© 2011 Rod Hughes Consulting Pty Ltd
A.B.N. 64 137 442 089&amp;C&amp;"Tahoma,Regular"&amp;10&amp;A
Page &amp;P of &amp;N&amp;R&amp;"Tahoma,Regular"&amp;10&amp;F
&amp;D &amp;T</oddFoot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C6980-5BF9-450C-A9F6-C1CCB583EA87}">
  <dimension ref="A1:AU137"/>
  <sheetViews>
    <sheetView zoomScaleNormal="100" workbookViewId="0">
      <selection activeCell="AD8" sqref="AD8"/>
    </sheetView>
  </sheetViews>
  <sheetFormatPr defaultColWidth="10.7109375" defaultRowHeight="15" customHeight="1" x14ac:dyDescent="0.25"/>
  <cols>
    <col min="1" max="1" width="2.7109375" style="34" customWidth="1"/>
    <col min="2" max="2" width="6.7109375" style="34" customWidth="1"/>
    <col min="3" max="3" width="13.7109375" style="33" customWidth="1"/>
    <col min="4" max="4" width="10.7109375" style="33"/>
    <col min="5" max="5" width="3.28515625" style="33" customWidth="1"/>
    <col min="6" max="6" width="8" style="33" customWidth="1"/>
    <col min="7" max="7" width="13.7109375" style="33" customWidth="1"/>
    <col min="8" max="8" width="10.7109375" style="33"/>
    <col min="9" max="9" width="2.42578125" style="33" bestFit="1" customWidth="1"/>
    <col min="10" max="10" width="6.7109375" style="33" customWidth="1"/>
    <col min="11" max="11" width="13.7109375" style="33" customWidth="1"/>
    <col min="12" max="12" width="10.7109375" style="33"/>
    <col min="13" max="13" width="2.42578125" style="33" bestFit="1" customWidth="1"/>
    <col min="14" max="14" width="6.7109375" style="33" customWidth="1"/>
    <col min="15" max="15" width="13.7109375" style="33" customWidth="1"/>
    <col min="16" max="16" width="10.7109375" style="33"/>
    <col min="17" max="17" width="5.140625" style="33" customWidth="1"/>
    <col min="18" max="18" width="6.7109375" style="33" customWidth="1"/>
    <col min="19" max="19" width="13.7109375" style="66" customWidth="1"/>
    <col min="20" max="20" width="10.7109375" style="66"/>
    <col min="21" max="21" width="3" style="66" customWidth="1"/>
    <col min="22" max="22" width="10.85546875" style="33" bestFit="1" customWidth="1"/>
    <col min="23" max="24" width="10.7109375" style="33" bestFit="1"/>
    <col min="25" max="25" width="7.7109375" style="33" customWidth="1"/>
    <col min="26" max="26" width="6" style="34" customWidth="1"/>
    <col min="27" max="27" width="13.7109375" style="34" bestFit="1" customWidth="1"/>
    <col min="28" max="28" width="4.85546875" style="34" bestFit="1" customWidth="1"/>
    <col min="29" max="29" width="7.85546875" style="34" bestFit="1" customWidth="1"/>
    <col min="30" max="30" width="6.7109375" style="34" bestFit="1" customWidth="1"/>
    <col min="31" max="31" width="5.7109375" style="34" bestFit="1" customWidth="1"/>
    <col min="32" max="33" width="6" style="34" bestFit="1" customWidth="1"/>
    <col min="34" max="34" width="5" style="34" bestFit="1" customWidth="1"/>
    <col min="35" max="35" width="4.85546875" style="34" customWidth="1"/>
    <col min="36" max="36" width="3.28515625" style="34" bestFit="1" customWidth="1"/>
    <col min="37" max="37" width="2.140625" style="34" bestFit="1" customWidth="1"/>
    <col min="38" max="38" width="4.85546875" style="35" bestFit="1" customWidth="1"/>
    <col min="39" max="39" width="2.140625" style="35" bestFit="1" customWidth="1"/>
    <col min="40" max="40" width="5.7109375" style="35" bestFit="1" customWidth="1"/>
    <col min="41" max="41" width="2.140625" style="35" bestFit="1" customWidth="1"/>
    <col min="42" max="42" width="4.85546875" style="35" bestFit="1" customWidth="1"/>
    <col min="43" max="43" width="7.140625" style="35" customWidth="1"/>
    <col min="44" max="44" width="3.28515625" style="35" bestFit="1" customWidth="1"/>
    <col min="45" max="45" width="2.140625" style="35" bestFit="1" customWidth="1"/>
    <col min="46" max="46" width="4.85546875" style="35" bestFit="1" customWidth="1"/>
    <col min="47" max="47" width="2.140625" style="35" bestFit="1" customWidth="1"/>
    <col min="48" max="48" width="4.85546875" style="34" bestFit="1" customWidth="1"/>
    <col min="49" max="49" width="2.140625" style="34" bestFit="1" customWidth="1"/>
    <col min="50" max="50" width="4.85546875" style="34" bestFit="1" customWidth="1"/>
    <col min="51" max="51" width="10.7109375" style="34"/>
    <col min="52" max="52" width="3.140625" style="34" customWidth="1"/>
    <col min="53" max="16384" width="10.7109375" style="34"/>
  </cols>
  <sheetData>
    <row r="1" spans="1:47" ht="15" customHeight="1" thickBot="1" x14ac:dyDescent="0.3">
      <c r="A1" s="68"/>
      <c r="B1" s="69"/>
      <c r="C1" s="70"/>
      <c r="D1" s="70"/>
      <c r="E1" s="70"/>
      <c r="F1" s="70"/>
      <c r="G1" s="70"/>
      <c r="H1" s="99" t="str">
        <f>IF(Type="Amps","A","V")</f>
        <v>A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71"/>
      <c r="U1" s="72"/>
    </row>
    <row r="2" spans="1:47" ht="15" customHeight="1" thickTop="1" x14ac:dyDescent="0.25">
      <c r="A2" s="73"/>
      <c r="B2" s="194" t="s">
        <v>20</v>
      </c>
      <c r="C2" s="195"/>
      <c r="D2" s="196"/>
      <c r="E2" s="45"/>
      <c r="F2" s="45"/>
      <c r="G2" s="76"/>
      <c r="H2" s="74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 s="46"/>
      <c r="U2" s="75"/>
    </row>
    <row r="3" spans="1:47" ht="15" customHeight="1" x14ac:dyDescent="0.25">
      <c r="A3" s="73"/>
      <c r="B3" s="82" t="s">
        <v>21</v>
      </c>
      <c r="C3" s="83" t="s">
        <v>3</v>
      </c>
      <c r="D3" s="84" t="s">
        <v>4</v>
      </c>
      <c r="E3" s="45"/>
      <c r="F3" s="45"/>
      <c r="G3" s="76"/>
      <c r="H3" s="74" t="s">
        <v>47</v>
      </c>
      <c r="I3" s="45"/>
      <c r="J3" s="197">
        <v>90</v>
      </c>
      <c r="K3" s="197"/>
      <c r="L3" s="45"/>
      <c r="M3" s="45"/>
      <c r="N3" s="45"/>
      <c r="O3" s="45"/>
      <c r="P3" s="45"/>
      <c r="Q3" s="45"/>
      <c r="R3" s="45"/>
      <c r="S3" s="46"/>
      <c r="T3" s="46"/>
      <c r="U3" s="75"/>
    </row>
    <row r="4" spans="1:47" ht="15" customHeight="1" x14ac:dyDescent="0.25">
      <c r="A4" s="73"/>
      <c r="B4" s="36" t="s">
        <v>0</v>
      </c>
      <c r="C4" s="37">
        <f>Amag</f>
        <v>165</v>
      </c>
      <c r="D4" s="38">
        <f>Aang</f>
        <v>-18</v>
      </c>
      <c r="E4" s="45"/>
      <c r="F4" s="45"/>
      <c r="G4" s="198" t="s">
        <v>42</v>
      </c>
      <c r="H4" s="198"/>
      <c r="I4" s="45"/>
      <c r="J4" s="198">
        <f>IF(AND(Amag=0,Bmag=0,Cmag=0),10,10*ROUNDUP((MAX(ABS(Amag),ABS(Bmag),ABS(Cmag))/10),0))</f>
        <v>170</v>
      </c>
      <c r="K4" s="198"/>
      <c r="L4" s="45"/>
      <c r="M4" s="45"/>
      <c r="N4" s="45"/>
      <c r="O4" s="45"/>
      <c r="P4" s="45"/>
      <c r="Q4" s="45"/>
      <c r="R4" s="45"/>
      <c r="S4" s="46"/>
      <c r="T4" s="46"/>
      <c r="U4" s="75"/>
    </row>
    <row r="5" spans="1:47" ht="15" customHeight="1" x14ac:dyDescent="0.25">
      <c r="A5" s="73"/>
      <c r="B5" s="39" t="s">
        <v>1</v>
      </c>
      <c r="C5" s="40">
        <f>Bmag</f>
        <v>90</v>
      </c>
      <c r="D5" s="41">
        <f>Bang</f>
        <v>-120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6"/>
      <c r="T5" s="46"/>
      <c r="U5" s="75"/>
    </row>
    <row r="6" spans="1:47" ht="15" customHeight="1" thickBot="1" x14ac:dyDescent="0.3">
      <c r="A6" s="73"/>
      <c r="B6" s="42" t="s">
        <v>2</v>
      </c>
      <c r="C6" s="43">
        <f>Cmag</f>
        <v>130</v>
      </c>
      <c r="D6" s="44">
        <f>Cang</f>
        <v>-209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/>
      <c r="T6" s="46"/>
      <c r="U6" s="75"/>
      <c r="V6" s="47"/>
    </row>
    <row r="7" spans="1:47" ht="15" customHeight="1" thickTop="1" x14ac:dyDescent="0.25">
      <c r="A7" s="73"/>
      <c r="B7" s="77" t="str">
        <f>CONCATENATE("1 Per Unit = Magnitude ",PU)</f>
        <v>1 Per Unit = Magnitude 170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45"/>
      <c r="R7" s="199"/>
      <c r="S7" s="199"/>
      <c r="T7" s="199"/>
      <c r="U7" s="75"/>
      <c r="V7" s="47"/>
    </row>
    <row r="8" spans="1:47" s="50" customFormat="1" ht="189" customHeight="1" x14ac:dyDescent="0.25">
      <c r="A8" s="78"/>
      <c r="B8" s="190"/>
      <c r="C8" s="190"/>
      <c r="D8" s="190"/>
      <c r="E8" s="79" t="s">
        <v>53</v>
      </c>
      <c r="F8" s="191"/>
      <c r="G8" s="191"/>
      <c r="H8" s="191"/>
      <c r="I8" s="94" t="s">
        <v>37</v>
      </c>
      <c r="J8" s="191"/>
      <c r="K8" s="191"/>
      <c r="L8" s="191"/>
      <c r="M8" s="94" t="s">
        <v>37</v>
      </c>
      <c r="N8" s="191"/>
      <c r="O8" s="191"/>
      <c r="P8" s="191"/>
      <c r="Q8" s="79" t="s">
        <v>53</v>
      </c>
      <c r="R8" s="193"/>
      <c r="S8" s="193"/>
      <c r="T8" s="193"/>
      <c r="U8" s="80"/>
      <c r="V8" s="48"/>
      <c r="W8" s="49"/>
      <c r="X8" s="49"/>
      <c r="Y8" s="49"/>
      <c r="AL8" s="51"/>
      <c r="AM8" s="51"/>
      <c r="AN8" s="51"/>
      <c r="AO8" s="51"/>
      <c r="AP8" s="51"/>
      <c r="AQ8" s="51"/>
      <c r="AR8" s="51"/>
      <c r="AS8" s="51"/>
      <c r="AT8" s="51"/>
      <c r="AU8" s="51"/>
    </row>
    <row r="9" spans="1:47" ht="15" customHeight="1" x14ac:dyDescent="0.25">
      <c r="A9" s="73"/>
      <c r="B9" s="77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  <c r="T9" s="46"/>
      <c r="U9" s="75"/>
      <c r="Y9" s="35"/>
      <c r="AA9" s="33"/>
      <c r="AB9" s="33"/>
      <c r="AC9" s="33"/>
    </row>
    <row r="10" spans="1:47" ht="15" customHeight="1" x14ac:dyDescent="0.25">
      <c r="A10" s="73"/>
      <c r="B10" s="188" t="s">
        <v>28</v>
      </c>
      <c r="C10" s="188"/>
      <c r="D10" s="188"/>
      <c r="E10" s="45"/>
      <c r="F10" s="189" t="s">
        <v>29</v>
      </c>
      <c r="G10" s="189"/>
      <c r="H10" s="189"/>
      <c r="I10" s="77"/>
      <c r="J10" s="192" t="s">
        <v>30</v>
      </c>
      <c r="K10" s="192"/>
      <c r="L10" s="192"/>
      <c r="M10" s="77"/>
      <c r="N10" s="200" t="s">
        <v>31</v>
      </c>
      <c r="O10" s="200"/>
      <c r="P10" s="200"/>
      <c r="Q10" s="77"/>
      <c r="R10" s="201" t="str">
        <f>+IF(Type="Amps","3I0 Neutral or Earth","3V0 Neutral or Earth")</f>
        <v>3I0 Neutral or Earth</v>
      </c>
      <c r="S10" s="201"/>
      <c r="T10" s="201"/>
      <c r="U10" s="81"/>
      <c r="V10" s="34"/>
      <c r="Y10" s="35"/>
      <c r="AA10" s="33"/>
      <c r="AB10" s="33"/>
      <c r="AC10" s="33"/>
    </row>
    <row r="11" spans="1:47" ht="15" customHeight="1" x14ac:dyDescent="0.25">
      <c r="A11" s="73"/>
      <c r="B11" s="85" t="s">
        <v>21</v>
      </c>
      <c r="C11" s="83" t="s">
        <v>3</v>
      </c>
      <c r="D11" s="83" t="s">
        <v>4</v>
      </c>
      <c r="E11" s="45"/>
      <c r="F11" s="96" t="s">
        <v>21</v>
      </c>
      <c r="G11" s="96" t="s">
        <v>25</v>
      </c>
      <c r="H11" s="96" t="s">
        <v>4</v>
      </c>
      <c r="I11" s="77"/>
      <c r="J11" s="97" t="s">
        <v>21</v>
      </c>
      <c r="K11" s="97" t="s">
        <v>25</v>
      </c>
      <c r="L11" s="97" t="s">
        <v>4</v>
      </c>
      <c r="M11" s="77"/>
      <c r="N11" s="98" t="s">
        <v>21</v>
      </c>
      <c r="O11" s="98" t="s">
        <v>25</v>
      </c>
      <c r="P11" s="98" t="s">
        <v>4</v>
      </c>
      <c r="Q11" s="77"/>
      <c r="R11" s="95" t="s">
        <v>21</v>
      </c>
      <c r="S11" s="95" t="s">
        <v>25</v>
      </c>
      <c r="T11" s="95" t="s">
        <v>4</v>
      </c>
      <c r="U11" s="81"/>
      <c r="V11" s="34"/>
      <c r="W11" s="34"/>
      <c r="X11" s="34"/>
      <c r="Y11" s="52"/>
      <c r="Z11" s="52"/>
      <c r="AA11" s="52"/>
      <c r="AI11" s="53"/>
    </row>
    <row r="12" spans="1:47" x14ac:dyDescent="0.25">
      <c r="A12" s="73"/>
      <c r="B12" s="54" t="s">
        <v>0</v>
      </c>
      <c r="C12" s="55">
        <f>Amag/PU</f>
        <v>0.97058823529411764</v>
      </c>
      <c r="D12" s="56">
        <f>IF(Aang&gt;180,Aang-360,IF(Aang&lt;-180,Aang+360,Aang))</f>
        <v>-18</v>
      </c>
      <c r="E12" s="77"/>
      <c r="F12" s="96" t="s">
        <v>5</v>
      </c>
      <c r="G12" s="57">
        <f>SQRT(POWER(A1x,2)+POWER(A1y,2))</f>
        <v>0.70339674437688438</v>
      </c>
      <c r="H12" s="56">
        <f>IF(W12&gt;180,W12-360,IF(W12&lt;-180,W12+360,W12))</f>
        <v>2.5504102488744338</v>
      </c>
      <c r="I12" s="77"/>
      <c r="J12" s="97" t="s">
        <v>8</v>
      </c>
      <c r="K12" s="57">
        <f>SQRT(POWER(A2x,2)+POWER(A2y,2))</f>
        <v>0.30155465507930729</v>
      </c>
      <c r="L12" s="56">
        <f>IF(X12&gt;180,X12-360,IF(X12&lt;-180,X12+360,X12))</f>
        <v>-42.056413674791138</v>
      </c>
      <c r="M12" s="77"/>
      <c r="N12" s="98" t="s">
        <v>9</v>
      </c>
      <c r="O12" s="57">
        <f>SQRT(POWER(A0x,2)+POWER(A0y,2))</f>
        <v>0.12924739842642868</v>
      </c>
      <c r="P12" s="56">
        <f>IF(Y12&gt;180,Y12-360,IF(Y12&lt;-180,Y12+360,Y12))</f>
        <v>88.448249263159326</v>
      </c>
      <c r="Q12" s="77"/>
      <c r="R12" s="88" t="str">
        <f>IF(Type="Amps","3I0","3V0")</f>
        <v>3I0</v>
      </c>
      <c r="S12" s="86">
        <f>SQRT(POWER(_3I0x,2)+POWER(_3I0y,2))</f>
        <v>0.38774219527928611</v>
      </c>
      <c r="T12" s="87">
        <f>IF(Z12&gt;180,Z12-360,IF(Z12&lt;-180,Z12+360,Z12))</f>
        <v>88.448249263159326</v>
      </c>
      <c r="U12" s="81"/>
      <c r="V12" s="34"/>
      <c r="W12" s="34">
        <f>IF(AND(A1x=0,A1y=0),0,IF(AND(A1x=0,A1y&gt;0),-270,IF(AND(A1x=0,A1y&lt;0),-90,IF(AND(A1x&gt;0,A1y=0),0,IF(AND(A1x&lt;0,A1y=0),-180,IF(A1y&lt;0,-DEGREES(ACOS(A1x/PosMagA)),DEGREES(ACOS(A1x/PosMagA)))  )))))</f>
        <v>2.5504102488744338</v>
      </c>
      <c r="X12" s="34">
        <f>IF(AND(A2x=0,A2y=0),0,IF(AND(A2x=0,A2y&gt;0),-270,IF(AND(A2x=0,A2y&lt;0),-90,IF(AND(A2x&gt;0,A2y=0),0,IF(AND(A2x&lt;0,A2y=0),-180,IF(A2y&lt;0,-DEGREES(ACOS(A2x/NegMagA)),DEGREES(ACOS(A2x/NegMagA))) )))))</f>
        <v>-42.056413674791138</v>
      </c>
      <c r="Y12" s="52">
        <f>IF(AND(A0x=0,A0y=0),0,IF(AND(A0x=0,A0y&gt;0),-270,IF(AND(A0x=0,A0y&lt;0),-90,IF(AND(A0x&gt;0,A0y=0),0,IF(AND(A0x&lt;0,A0y=0),-180,DEGREES(ATAN(A0y/A0x)))))))</f>
        <v>88.448249263159326</v>
      </c>
      <c r="Z12" s="52">
        <f>IF(AND(_3I0x=0,_3I0y=0),0,IF(AND(_3I0x=0,_3I0y&gt;0),-270,IF(AND(_3I0x=0,_3I0y&lt;0),-90,IF(AND(_3I0x&gt;0,_3I0y=0),0,IF(AND(_3I0x&lt;0,_3I0y=0),-180,DEGREES(ATAN(_3I0y/_3I0x)))))))</f>
        <v>88.448249263159326</v>
      </c>
      <c r="AA12" s="52"/>
      <c r="AI12" s="33"/>
    </row>
    <row r="13" spans="1:47" x14ac:dyDescent="0.25">
      <c r="A13" s="73"/>
      <c r="B13" s="58" t="s">
        <v>1</v>
      </c>
      <c r="C13" s="59">
        <f>Bmag/PU</f>
        <v>0.52941176470588236</v>
      </c>
      <c r="D13" s="60">
        <f>IF(W13&gt;180,W13-360,IF(W13&lt;-180,W13+360,W13))</f>
        <v>-120</v>
      </c>
      <c r="E13" s="77"/>
      <c r="F13" s="96" t="s">
        <v>6</v>
      </c>
      <c r="G13" s="61">
        <f>SQRT(POWER(B1x,2)+POWER(B1y,2))</f>
        <v>0.70337136706010428</v>
      </c>
      <c r="H13" s="60">
        <f>IF(H12-120&gt;180,H12-120-360,IF(H12-120&lt;-180,H12-120+360,H12-120))</f>
        <v>-117.44958975112557</v>
      </c>
      <c r="I13" s="77"/>
      <c r="J13" s="97" t="s">
        <v>10</v>
      </c>
      <c r="K13" s="61">
        <f>K12</f>
        <v>0.30155465507930729</v>
      </c>
      <c r="L13" s="60">
        <f>IF(L12+120&gt;180,L12+120-360,IF(L12+120&lt;-180,L12+120+360,L12+120))</f>
        <v>77.943586325208855</v>
      </c>
      <c r="M13" s="77"/>
      <c r="N13" s="98" t="s">
        <v>11</v>
      </c>
      <c r="O13" s="61">
        <f>O12</f>
        <v>0.12924739842642868</v>
      </c>
      <c r="P13" s="60">
        <f>P12</f>
        <v>88.448249263159326</v>
      </c>
      <c r="Q13" s="77"/>
      <c r="R13" s="77"/>
      <c r="S13" s="77"/>
      <c r="T13" s="77"/>
      <c r="U13" s="81"/>
      <c r="V13" s="34"/>
      <c r="W13" s="34">
        <f>IF(AND(Bmag=0,Bang=0),Aang-120,Bang)</f>
        <v>-120</v>
      </c>
      <c r="X13" s="34"/>
      <c r="Y13" s="34"/>
      <c r="AI13" s="33"/>
    </row>
    <row r="14" spans="1:47" ht="15" customHeight="1" x14ac:dyDescent="0.25">
      <c r="A14" s="73"/>
      <c r="B14" s="62" t="s">
        <v>2</v>
      </c>
      <c r="C14" s="63">
        <f>Cmag/PU</f>
        <v>0.76470588235294112</v>
      </c>
      <c r="D14" s="64">
        <f>IF(W14&gt;180,W14-360,IF(W14&lt;-180,W14+360,W14))</f>
        <v>151</v>
      </c>
      <c r="E14" s="77"/>
      <c r="F14" s="96" t="s">
        <v>7</v>
      </c>
      <c r="G14" s="65">
        <f>SQRT(POWER(_C1x,2)+POWER(_C1y,2))</f>
        <v>0.70336119455085089</v>
      </c>
      <c r="H14" s="64">
        <f>IF(H12-240&gt;180,H12-240-360,IF(H12-240&lt;-180,H12-240+360,H12-240))</f>
        <v>122.55041024887444</v>
      </c>
      <c r="I14" s="77"/>
      <c r="J14" s="97" t="s">
        <v>12</v>
      </c>
      <c r="K14" s="65">
        <f>K12</f>
        <v>0.30155465507930729</v>
      </c>
      <c r="L14" s="64">
        <f>IF(L12+240&gt;180,L12+240-360,IF(L12+240&lt;-180,L12+240+360,L12+240))</f>
        <v>-162.05641367479114</v>
      </c>
      <c r="M14" s="77"/>
      <c r="N14" s="98" t="s">
        <v>13</v>
      </c>
      <c r="O14" s="65">
        <f>O12</f>
        <v>0.12924739842642868</v>
      </c>
      <c r="P14" s="64">
        <f>P12</f>
        <v>88.448249263159326</v>
      </c>
      <c r="Q14" s="77"/>
      <c r="R14" s="45"/>
      <c r="S14" s="46"/>
      <c r="T14" s="46"/>
      <c r="U14" s="81"/>
      <c r="V14" s="34"/>
      <c r="W14" s="34">
        <f>IF(AND(Cmag=0,Cang=0),Aang-240,Cang)</f>
        <v>-209</v>
      </c>
      <c r="X14" s="34"/>
      <c r="Y14" s="34"/>
      <c r="AI14" s="33"/>
    </row>
    <row r="15" spans="1:47" x14ac:dyDescent="0.25">
      <c r="A15" s="73"/>
      <c r="B15" s="77"/>
      <c r="C15" s="77"/>
      <c r="D15" s="77"/>
      <c r="E15" s="77"/>
      <c r="F15" s="202" t="str">
        <f>CONCATENATE(ROUND(A1m*PU,1)," ",Units)</f>
        <v>119.6 A</v>
      </c>
      <c r="G15" s="202"/>
      <c r="H15" s="202"/>
      <c r="I15" s="77"/>
      <c r="J15" s="203" t="str">
        <f>CONCATENATE(ROUND(K12*PU,1)," ",Units)</f>
        <v>51.3 A</v>
      </c>
      <c r="K15" s="203"/>
      <c r="L15" s="203"/>
      <c r="M15" s="77"/>
      <c r="N15" s="204" t="str">
        <f>CONCATENATE(ROUND(O12*PU,1)," ",Units)</f>
        <v>22 A</v>
      </c>
      <c r="O15" s="204"/>
      <c r="P15" s="204"/>
      <c r="Q15" s="77"/>
      <c r="R15" s="205" t="s">
        <v>54</v>
      </c>
      <c r="S15" s="205"/>
      <c r="T15" s="67" t="str">
        <f>CONCATENATE(ROUND(S12*PU,1)," ",Units)</f>
        <v>65.9 A</v>
      </c>
      <c r="U15" s="81"/>
      <c r="V15" s="34"/>
      <c r="W15" s="34"/>
      <c r="X15" s="34"/>
      <c r="Y15" s="34"/>
      <c r="AI15" s="33"/>
    </row>
    <row r="16" spans="1:47" x14ac:dyDescent="0.25">
      <c r="A16" s="73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81"/>
      <c r="V16" s="34"/>
      <c r="W16" s="34"/>
      <c r="X16" s="34"/>
      <c r="Y16" s="34"/>
      <c r="AI16" s="33"/>
    </row>
    <row r="17" spans="1:21" ht="152.25" customHeight="1" x14ac:dyDescent="0.25">
      <c r="A17" s="89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92"/>
      <c r="U17" s="93"/>
    </row>
    <row r="100" spans="3:25" ht="15" customHeight="1" x14ac:dyDescent="0.25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3:25" ht="15" customHeight="1" x14ac:dyDescent="0.25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 spans="3:25" ht="15" customHeight="1" x14ac:dyDescent="0.25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spans="3:25" ht="15" customHeight="1" x14ac:dyDescent="0.25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 spans="3:25" ht="15" customHeight="1" x14ac:dyDescent="0.25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</row>
    <row r="105" spans="3:25" ht="15" customHeight="1" x14ac:dyDescent="0.25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3:25" ht="15" customHeight="1" x14ac:dyDescent="0.2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3:25" ht="15" customHeight="1" x14ac:dyDescent="0.25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spans="3:25" ht="15" customHeight="1" x14ac:dyDescent="0.25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3:25" ht="15" customHeight="1" x14ac:dyDescent="0.25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</row>
    <row r="110" spans="3:25" ht="15" customHeight="1" x14ac:dyDescent="0.25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</row>
    <row r="111" spans="3:25" ht="15" customHeight="1" x14ac:dyDescent="0.25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</row>
    <row r="112" spans="3:25" ht="15" customHeight="1" x14ac:dyDescent="0.25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</row>
    <row r="113" spans="3:25" ht="15" customHeight="1" x14ac:dyDescent="0.25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</row>
    <row r="114" spans="3:25" ht="15" customHeight="1" x14ac:dyDescent="0.25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</row>
    <row r="115" spans="3:25" ht="15" customHeight="1" x14ac:dyDescent="0.25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</row>
    <row r="116" spans="3:25" ht="15" customHeight="1" x14ac:dyDescent="0.25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</row>
    <row r="117" spans="3:25" ht="15" customHeight="1" x14ac:dyDescent="0.25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</row>
    <row r="118" spans="3:25" ht="15" customHeight="1" x14ac:dyDescent="0.25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</row>
    <row r="119" spans="3:25" ht="15" customHeight="1" x14ac:dyDescent="0.25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</row>
    <row r="120" spans="3:25" ht="15" customHeight="1" x14ac:dyDescent="0.25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</row>
    <row r="121" spans="3:25" ht="15" customHeight="1" x14ac:dyDescent="0.25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</row>
    <row r="122" spans="3:25" ht="15" customHeight="1" x14ac:dyDescent="0.25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3:25" ht="15" customHeight="1" x14ac:dyDescent="0.25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3:25" ht="15" customHeight="1" x14ac:dyDescent="0.25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3:25" ht="15" customHeight="1" x14ac:dyDescent="0.25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3:25" ht="15" customHeight="1" x14ac:dyDescent="0.25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3:25" ht="15" customHeight="1" x14ac:dyDescent="0.25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3:25" ht="15" customHeight="1" x14ac:dyDescent="0.25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3:25" ht="15" customHeight="1" x14ac:dyDescent="0.25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3:25" ht="15" customHeight="1" x14ac:dyDescent="0.25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3:25" ht="15" customHeight="1" x14ac:dyDescent="0.25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3:25" ht="15" customHeight="1" x14ac:dyDescent="0.25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3:25" ht="15" customHeight="1" x14ac:dyDescent="0.25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3:25" ht="15" customHeight="1" x14ac:dyDescent="0.25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3:25" ht="15" customHeight="1" x14ac:dyDescent="0.25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3:25" ht="15" customHeight="1" x14ac:dyDescent="0.25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3:25" ht="15" customHeight="1" x14ac:dyDescent="0.25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</sheetData>
  <sheetProtection algorithmName="SHA-512" hashValue="Ot1jeXGTO2F0EZ4s7PxvUiEjuk5g3oy1HLdoLU7wNrfptfPmTRtHWTP9CtANOqeQUjpNoAtLgdPIXlcXWdDnqg==" saltValue="yI4alPvSFLkFiYKuAp3uug==" spinCount="100000" sheet="1" objects="1" scenarios="1"/>
  <mergeCells count="19">
    <mergeCell ref="N10:P10"/>
    <mergeCell ref="R10:T10"/>
    <mergeCell ref="F15:H15"/>
    <mergeCell ref="J15:L15"/>
    <mergeCell ref="N15:P15"/>
    <mergeCell ref="R15:S15"/>
    <mergeCell ref="N8:P8"/>
    <mergeCell ref="R8:T8"/>
    <mergeCell ref="B2:D2"/>
    <mergeCell ref="J3:K3"/>
    <mergeCell ref="G4:H4"/>
    <mergeCell ref="J4:K4"/>
    <mergeCell ref="R7:T7"/>
    <mergeCell ref="B10:D10"/>
    <mergeCell ref="F10:H10"/>
    <mergeCell ref="B8:D8"/>
    <mergeCell ref="F8:H8"/>
    <mergeCell ref="J8:L8"/>
    <mergeCell ref="J10:L10"/>
  </mergeCells>
  <conditionalFormatting sqref="J3:K3">
    <cfRule type="expression" dxfId="19" priority="6" stopIfTrue="1">
      <formula>$H$3="Auto"</formula>
    </cfRule>
    <cfRule type="expression" dxfId="18" priority="9">
      <formula>$J$3&lt;$J$4</formula>
    </cfRule>
  </conditionalFormatting>
  <conditionalFormatting sqref="G4">
    <cfRule type="expression" dxfId="17" priority="5">
      <formula>$H$3="Auto"</formula>
    </cfRule>
    <cfRule type="expression" dxfId="16" priority="8">
      <formula>$J$3&lt;$J$4</formula>
    </cfRule>
  </conditionalFormatting>
  <conditionalFormatting sqref="J4:K4">
    <cfRule type="expression" dxfId="15" priority="4" stopIfTrue="1">
      <formula>$H$3="Auto"</formula>
    </cfRule>
    <cfRule type="expression" dxfId="14" priority="7">
      <formula>$J$3&lt;$J$4</formula>
    </cfRule>
  </conditionalFormatting>
  <conditionalFormatting sqref="C13">
    <cfRule type="expression" dxfId="13" priority="3">
      <formula>$C$13&gt;1</formula>
    </cfRule>
  </conditionalFormatting>
  <conditionalFormatting sqref="C12">
    <cfRule type="expression" dxfId="12" priority="2">
      <formula>$C$12&gt;1</formula>
    </cfRule>
  </conditionalFormatting>
  <conditionalFormatting sqref="C14">
    <cfRule type="expression" dxfId="11" priority="1">
      <formula>$C$14&gt;1</formula>
    </cfRule>
  </conditionalFormatting>
  <conditionalFormatting sqref="C4">
    <cfRule type="expression" dxfId="10" priority="10">
      <formula>H2="Volts"</formula>
    </cfRule>
    <cfRule type="expression" dxfId="9" priority="11">
      <formula>H2="Amps"</formula>
    </cfRule>
  </conditionalFormatting>
  <conditionalFormatting sqref="C5">
    <cfRule type="expression" dxfId="8" priority="12">
      <formula>H2="Volts"</formula>
    </cfRule>
    <cfRule type="expression" dxfId="7" priority="13">
      <formula>H2="Amps"</formula>
    </cfRule>
  </conditionalFormatting>
  <conditionalFormatting sqref="C6">
    <cfRule type="expression" dxfId="6" priority="14">
      <formula>H2="Volts"</formula>
    </cfRule>
    <cfRule type="expression" dxfId="5" priority="15">
      <formula>H2="Amps"</formula>
    </cfRule>
  </conditionalFormatting>
  <conditionalFormatting sqref="T15">
    <cfRule type="expression" dxfId="4" priority="16">
      <formula>$H$2="Volts"</formula>
    </cfRule>
    <cfRule type="expression" dxfId="3" priority="17">
      <formula>$H$2="Amps"</formula>
    </cfRule>
    <cfRule type="expression" dxfId="2" priority="18">
      <formula>$H$2="Amps"</formula>
    </cfRule>
  </conditionalFormatting>
  <dataValidations disablePrompts="1" count="2">
    <dataValidation type="list" allowBlank="1" showInputMessage="1" showErrorMessage="1" sqref="H2" xr:uid="{9CBB1C02-865B-454A-8110-D1A01EA82BF5}">
      <formula1>"Amps,Volts"</formula1>
    </dataValidation>
    <dataValidation type="list" allowBlank="1" showInputMessage="1" showErrorMessage="1" sqref="H3" xr:uid="{5452D988-FF91-470B-A9CB-363D04FC412F}">
      <formula1>"Auto,Manual"</formula1>
    </dataValidation>
  </dataValidations>
  <pageMargins left="0.70866141732283472" right="0.70866141732283472" top="0.94488188976377963" bottom="0.74803149606299213" header="0.31496062992125984" footer="0.31496062992125984"/>
  <pageSetup paperSize="9" orientation="portrait" horizontalDpi="0" verticalDpi="0" r:id="rId1"/>
  <headerFooter>
    <oddHeader>&amp;L&amp;G</oddHeader>
    <oddFooter>&amp;L&amp;"Consolas,Regular"&amp;10© 2020 Rod Hughes Consulting Pty Ltd
A.B.N. 64 137 442 089&amp;C&amp;"Consolas,Regular"&amp;10&amp;A
Page &amp;P of &amp;N&amp;R&amp;"Consolas,Regular"&amp;10&amp;F
&amp;D &amp;T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0"/>
  <sheetViews>
    <sheetView topLeftCell="A7" zoomScaleNormal="100" workbookViewId="0">
      <selection activeCell="L34" sqref="L34"/>
    </sheetView>
  </sheetViews>
  <sheetFormatPr defaultColWidth="10.7109375" defaultRowHeight="15" customHeight="1" x14ac:dyDescent="0.25"/>
  <cols>
    <col min="1" max="14" width="10.7109375" style="9"/>
    <col min="15" max="15" width="16.5703125" style="32" customWidth="1"/>
    <col min="16" max="16" width="12.7109375" style="9" customWidth="1"/>
    <col min="17" max="16384" width="10.7109375" style="9"/>
  </cols>
  <sheetData>
    <row r="1" spans="1:25" ht="15" customHeight="1" x14ac:dyDescent="0.25">
      <c r="A1" s="5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6"/>
      <c r="Q1" s="6"/>
      <c r="R1" s="6"/>
      <c r="S1" s="8"/>
      <c r="T1" s="8"/>
      <c r="U1" s="8"/>
      <c r="V1" s="6"/>
      <c r="W1" s="6"/>
      <c r="X1" s="6"/>
      <c r="Y1" s="6"/>
    </row>
    <row r="2" spans="1:25" ht="15" customHeight="1" x14ac:dyDescent="0.25">
      <c r="A2" s="5"/>
      <c r="B2" s="10"/>
      <c r="C2" s="11" t="s">
        <v>26</v>
      </c>
      <c r="D2" s="11" t="s">
        <v>27</v>
      </c>
      <c r="E2" s="6"/>
      <c r="F2" s="10"/>
      <c r="G2" s="11" t="s">
        <v>26</v>
      </c>
      <c r="H2" s="11" t="s">
        <v>27</v>
      </c>
      <c r="I2" s="6"/>
      <c r="J2" s="10"/>
      <c r="K2" s="11" t="s">
        <v>26</v>
      </c>
      <c r="L2" s="11" t="s">
        <v>27</v>
      </c>
      <c r="M2" s="6"/>
      <c r="N2" s="10"/>
      <c r="O2" s="12" t="s">
        <v>26</v>
      </c>
      <c r="P2" s="11" t="s">
        <v>27</v>
      </c>
      <c r="Q2" s="6"/>
      <c r="R2" s="13" t="s">
        <v>32</v>
      </c>
      <c r="S2" s="11" t="s">
        <v>26</v>
      </c>
      <c r="T2" s="11" t="s">
        <v>27</v>
      </c>
      <c r="U2" s="8"/>
      <c r="V2" s="6" t="s">
        <v>33</v>
      </c>
      <c r="W2" s="11" t="s">
        <v>26</v>
      </c>
      <c r="X2" s="11" t="s">
        <v>27</v>
      </c>
      <c r="Y2" s="6"/>
    </row>
    <row r="3" spans="1:25" ht="15" customHeight="1" x14ac:dyDescent="0.25">
      <c r="A3" s="5"/>
      <c r="B3" s="10" t="s">
        <v>0</v>
      </c>
      <c r="C3" s="14">
        <f>ROUND(Am*COS(Aa*PI()/180),4)</f>
        <v>0.92310000000000003</v>
      </c>
      <c r="D3" s="15">
        <f>ROUND(Am*SIN(Aa*PI()/180),4)</f>
        <v>-0.2999</v>
      </c>
      <c r="E3" s="6"/>
      <c r="F3" s="10" t="s">
        <v>5</v>
      </c>
      <c r="G3" s="14">
        <f>ROUND((Ax+aBx+a2Cx)/3,4)</f>
        <v>0.70269999999999999</v>
      </c>
      <c r="H3" s="15">
        <f>ROUND((Ay+aBy+a2Cy)/3,4)</f>
        <v>3.1300000000000001E-2</v>
      </c>
      <c r="I3" s="6"/>
      <c r="J3" s="10" t="s">
        <v>8</v>
      </c>
      <c r="K3" s="14">
        <f>ROUND((Ax+a2Bx+aCx)/3,4)</f>
        <v>0.22389999999999999</v>
      </c>
      <c r="L3" s="15">
        <f>ROUND((Ay+a2By+aCy)/3,4)</f>
        <v>-0.20200000000000001</v>
      </c>
      <c r="M3" s="6"/>
      <c r="N3" s="10" t="s">
        <v>9</v>
      </c>
      <c r="O3" s="14">
        <f>ROUND((Ax+Bx+Cx)/3,4)</f>
        <v>-3.5000000000000001E-3</v>
      </c>
      <c r="P3" s="15">
        <f>ROUND((Ay+By+Cy)/3,4)</f>
        <v>-0.12920000000000001</v>
      </c>
      <c r="Q3" s="6"/>
      <c r="R3" s="13"/>
      <c r="S3" s="14">
        <f>3*A0x</f>
        <v>-1.0500000000000001E-2</v>
      </c>
      <c r="T3" s="15">
        <f>3*A0y</f>
        <v>-0.38760000000000006</v>
      </c>
      <c r="U3" s="8"/>
      <c r="V3" s="6" t="s">
        <v>34</v>
      </c>
      <c r="W3" s="16">
        <f>(A1x+A2x+A0x)-Ax</f>
        <v>0</v>
      </c>
      <c r="X3" s="16">
        <f>(A1y+A2y+A0y)-Ay</f>
        <v>0</v>
      </c>
      <c r="Y3" s="6"/>
    </row>
    <row r="4" spans="1:25" ht="15" customHeight="1" x14ac:dyDescent="0.25">
      <c r="A4" s="5"/>
      <c r="B4" s="10" t="s">
        <v>1</v>
      </c>
      <c r="C4" s="14">
        <f>ROUND(Bm*COS(Ba*PI()/180),4)</f>
        <v>-0.26469999999999999</v>
      </c>
      <c r="D4" s="15">
        <f>ROUND(Bm*SIN(Ba*PI()/180),4)</f>
        <v>-0.45850000000000002</v>
      </c>
      <c r="E4" s="6"/>
      <c r="F4" s="10" t="s">
        <v>6</v>
      </c>
      <c r="G4" s="14">
        <f>ROUND((Bx+aCx+a2Ax)/3,4)</f>
        <v>-0.32419999999999999</v>
      </c>
      <c r="H4" s="15">
        <f>ROUND((By+aCy+a2Ay)/3,4)</f>
        <v>-0.62419999999999998</v>
      </c>
      <c r="I4" s="6"/>
      <c r="J4" s="10" t="s">
        <v>10</v>
      </c>
      <c r="K4" s="14">
        <f>ROUND((Bx+a2Cx+aAx)/3,4)</f>
        <v>6.3E-2</v>
      </c>
      <c r="L4" s="15">
        <f>ROUND((By+a2Cy+aAy)/3,4)</f>
        <v>0.2949</v>
      </c>
      <c r="M4" s="6"/>
      <c r="N4" s="10" t="s">
        <v>11</v>
      </c>
      <c r="O4" s="14">
        <f>ROUND((Ax+Bx+Cx)/3,4)</f>
        <v>-3.5000000000000001E-3</v>
      </c>
      <c r="P4" s="15">
        <f>ROUND((Ay+By+Cy)/3,4)</f>
        <v>-0.12920000000000001</v>
      </c>
      <c r="Q4" s="6"/>
      <c r="R4" s="6"/>
      <c r="S4" s="8"/>
      <c r="T4" s="8"/>
      <c r="U4" s="8"/>
      <c r="V4" s="6" t="s">
        <v>35</v>
      </c>
      <c r="W4" s="16">
        <f>(G4+K4+O4)-Bx</f>
        <v>0</v>
      </c>
      <c r="X4" s="16">
        <f>(H4+L4+P4)-By</f>
        <v>0</v>
      </c>
      <c r="Y4" s="6"/>
    </row>
    <row r="5" spans="1:25" ht="15" customHeight="1" x14ac:dyDescent="0.25">
      <c r="A5" s="5"/>
      <c r="B5" s="10" t="s">
        <v>2</v>
      </c>
      <c r="C5" s="14">
        <f>ROUND(Cm*COS(Ca*PI()/180),4)</f>
        <v>-0.66879999999999995</v>
      </c>
      <c r="D5" s="15">
        <f>ROUND(Cm*SIN(Ca*PI()/180),4)</f>
        <v>0.37069999999999997</v>
      </c>
      <c r="E5" s="6"/>
      <c r="F5" s="10" t="s">
        <v>7</v>
      </c>
      <c r="G5" s="14">
        <f>ROUND((Cx+aAx+a2Bx)/3,4)</f>
        <v>-0.37840000000000001</v>
      </c>
      <c r="H5" s="15">
        <f>ROUND((Cy+aAy+a2By)/3,4)</f>
        <v>0.59289999999999998</v>
      </c>
      <c r="I5" s="6"/>
      <c r="J5" s="10" t="s">
        <v>12</v>
      </c>
      <c r="K5" s="14">
        <f>ROUND((Cx+a2Ax+aBx)/3,4)</f>
        <v>-0.28689999999999999</v>
      </c>
      <c r="L5" s="15">
        <f>ROUND((Cy+a2Ay+aBy)/3,4)</f>
        <v>-9.2899999999999996E-2</v>
      </c>
      <c r="M5" s="6"/>
      <c r="N5" s="10" t="s">
        <v>13</v>
      </c>
      <c r="O5" s="14">
        <f>ROUND((Ax+Bx+Cx)/3,4)</f>
        <v>-3.5000000000000001E-3</v>
      </c>
      <c r="P5" s="15">
        <f>ROUND((Ay+By+Cy)/3,4)</f>
        <v>-0.12920000000000001</v>
      </c>
      <c r="Q5" s="6"/>
      <c r="R5" s="6"/>
      <c r="S5" s="8"/>
      <c r="T5" s="8"/>
      <c r="U5" s="8"/>
      <c r="V5" s="6" t="s">
        <v>36</v>
      </c>
      <c r="W5" s="16">
        <f>(G5+K5+O5)-Cx</f>
        <v>0</v>
      </c>
      <c r="X5" s="16">
        <f>(H5+L5+P5)-Cy</f>
        <v>1.000000000000445E-4</v>
      </c>
      <c r="Y5" s="6"/>
    </row>
    <row r="6" spans="1:25" ht="15" customHeight="1" x14ac:dyDescent="0.25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6"/>
      <c r="Q6" s="6"/>
      <c r="R6" s="6"/>
      <c r="S6" s="8"/>
      <c r="T6" s="8"/>
      <c r="U6" s="8"/>
      <c r="V6" s="6"/>
      <c r="W6" s="6"/>
      <c r="X6" s="6"/>
      <c r="Y6" s="6"/>
    </row>
    <row r="7" spans="1:25" ht="15" customHeight="1" x14ac:dyDescent="0.25">
      <c r="A7" s="5"/>
      <c r="B7" s="5"/>
      <c r="C7" s="11" t="s">
        <v>3</v>
      </c>
      <c r="D7" s="11" t="s">
        <v>4</v>
      </c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6"/>
      <c r="Q7" s="6"/>
      <c r="R7" s="6"/>
      <c r="S7" s="8"/>
      <c r="T7" s="8"/>
      <c r="U7" s="8"/>
      <c r="V7" s="6"/>
      <c r="W7" s="6"/>
      <c r="X7" s="6"/>
      <c r="Y7" s="6"/>
    </row>
    <row r="8" spans="1:25" ht="15" customHeight="1" x14ac:dyDescent="0.25">
      <c r="A8" s="5"/>
      <c r="B8" s="17" t="s">
        <v>38</v>
      </c>
      <c r="C8" s="18">
        <f>Am</f>
        <v>0.97058823529411764</v>
      </c>
      <c r="D8" s="19">
        <f>Aa+120</f>
        <v>102</v>
      </c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6"/>
      <c r="Q8" s="6"/>
      <c r="R8" s="6"/>
      <c r="S8" s="8"/>
      <c r="T8" s="8"/>
      <c r="U8" s="8"/>
      <c r="V8" s="6"/>
      <c r="W8" s="6"/>
      <c r="X8" s="6"/>
      <c r="Y8" s="6"/>
    </row>
    <row r="9" spans="1:25" ht="15" customHeight="1" x14ac:dyDescent="0.25">
      <c r="A9" s="5"/>
      <c r="B9" s="17" t="s">
        <v>50</v>
      </c>
      <c r="C9" s="18">
        <f>Am</f>
        <v>0.97058823529411764</v>
      </c>
      <c r="D9" s="19">
        <f>Aa+240</f>
        <v>222</v>
      </c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6"/>
      <c r="Q9" s="6"/>
      <c r="R9" s="6"/>
      <c r="S9" s="8"/>
      <c r="T9" s="8"/>
      <c r="U9" s="8"/>
      <c r="V9" s="6"/>
      <c r="W9" s="6"/>
      <c r="X9" s="6"/>
      <c r="Y9" s="6"/>
    </row>
    <row r="10" spans="1:25" ht="15" customHeight="1" x14ac:dyDescent="0.25">
      <c r="A10" s="5"/>
      <c r="B10" s="20" t="s">
        <v>14</v>
      </c>
      <c r="C10" s="18">
        <f>Bm</f>
        <v>0.52941176470588236</v>
      </c>
      <c r="D10" s="19">
        <f>Ba+120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6"/>
      <c r="Q10" s="6"/>
      <c r="R10" s="6"/>
      <c r="S10" s="8"/>
      <c r="T10" s="8"/>
      <c r="U10" s="8"/>
      <c r="V10" s="6"/>
      <c r="W10" s="6"/>
      <c r="X10" s="6"/>
      <c r="Y10" s="6"/>
    </row>
    <row r="11" spans="1:25" ht="15" customHeight="1" x14ac:dyDescent="0.25">
      <c r="A11" s="5"/>
      <c r="B11" s="20" t="s">
        <v>51</v>
      </c>
      <c r="C11" s="18">
        <f>Bm</f>
        <v>0.52941176470588236</v>
      </c>
      <c r="D11" s="19">
        <f>Ba+240</f>
        <v>120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6"/>
      <c r="Q11" s="6"/>
      <c r="R11" s="6"/>
      <c r="S11" s="8"/>
      <c r="T11" s="8"/>
      <c r="U11" s="8"/>
      <c r="V11" s="6"/>
      <c r="W11" s="6"/>
      <c r="X11" s="6"/>
      <c r="Y11" s="6"/>
    </row>
    <row r="12" spans="1:25" ht="15" customHeight="1" x14ac:dyDescent="0.25">
      <c r="A12" s="5"/>
      <c r="B12" s="21" t="s">
        <v>15</v>
      </c>
      <c r="C12" s="18">
        <f>Cm</f>
        <v>0.76470588235294112</v>
      </c>
      <c r="D12" s="19">
        <f>Ca+120</f>
        <v>271</v>
      </c>
      <c r="E12" s="5"/>
      <c r="F12" s="5"/>
      <c r="G12" s="5"/>
      <c r="H12" s="6"/>
      <c r="I12" s="6"/>
      <c r="J12" s="6"/>
      <c r="K12" s="6"/>
      <c r="L12" s="6"/>
      <c r="M12" s="6"/>
      <c r="N12" s="6"/>
      <c r="O12" s="7"/>
      <c r="P12" s="6"/>
      <c r="Q12" s="6"/>
      <c r="R12" s="6"/>
      <c r="S12" s="8"/>
      <c r="T12" s="8"/>
      <c r="U12" s="8"/>
      <c r="V12" s="6"/>
      <c r="W12" s="6"/>
      <c r="X12" s="6"/>
      <c r="Y12" s="6"/>
    </row>
    <row r="13" spans="1:25" ht="15" customHeight="1" x14ac:dyDescent="0.25">
      <c r="A13" s="5"/>
      <c r="B13" s="21" t="s">
        <v>52</v>
      </c>
      <c r="C13" s="18">
        <f>Cm</f>
        <v>0.76470588235294112</v>
      </c>
      <c r="D13" s="19">
        <f>Ca+240</f>
        <v>391</v>
      </c>
      <c r="E13" s="5"/>
      <c r="F13" s="5"/>
      <c r="G13" s="5"/>
      <c r="H13" s="6"/>
      <c r="I13" s="6"/>
      <c r="J13" s="6"/>
      <c r="K13" s="6"/>
      <c r="L13" s="6"/>
      <c r="M13" s="6"/>
      <c r="N13" s="6"/>
      <c r="O13" s="7"/>
      <c r="P13" s="6"/>
      <c r="Q13" s="6"/>
      <c r="R13" s="6"/>
      <c r="S13" s="8"/>
      <c r="T13" s="8"/>
      <c r="U13" s="8"/>
      <c r="V13" s="6"/>
      <c r="W13" s="6"/>
      <c r="X13" s="6"/>
      <c r="Y13" s="6"/>
    </row>
    <row r="14" spans="1:25" ht="15" customHeight="1" x14ac:dyDescent="0.25">
      <c r="A14" s="5"/>
      <c r="B14" s="5"/>
      <c r="C14" s="11" t="s">
        <v>26</v>
      </c>
      <c r="D14" s="11" t="s">
        <v>27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  <c r="P14" s="6"/>
      <c r="Q14" s="6"/>
      <c r="R14" s="6"/>
      <c r="S14" s="8"/>
      <c r="T14" s="8"/>
      <c r="U14" s="8"/>
      <c r="V14" s="6"/>
      <c r="W14" s="6"/>
      <c r="X14" s="6"/>
      <c r="Y14" s="6"/>
    </row>
    <row r="15" spans="1:25" ht="15" customHeight="1" x14ac:dyDescent="0.25">
      <c r="A15" s="5"/>
      <c r="B15" s="22" t="s">
        <v>39</v>
      </c>
      <c r="C15" s="14">
        <f>aAm*COS(aAa*PI()/180)</f>
        <v>-0.20179664108782502</v>
      </c>
      <c r="D15" s="15">
        <f>aAm*SIN(aAa*PI()/180)</f>
        <v>0.94937855365339963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  <c r="P15" s="6"/>
      <c r="Q15" s="6"/>
      <c r="R15" s="6"/>
      <c r="S15" s="8"/>
      <c r="T15" s="8"/>
      <c r="U15" s="8"/>
      <c r="V15" s="6"/>
      <c r="W15" s="6"/>
      <c r="X15" s="6"/>
      <c r="Y15" s="6"/>
    </row>
    <row r="16" spans="1:25" ht="15" customHeight="1" x14ac:dyDescent="0.25">
      <c r="A16" s="5"/>
      <c r="B16" s="22" t="s">
        <v>50</v>
      </c>
      <c r="C16" s="14">
        <f>a2Am*COS(a2Aa*PI()/180)</f>
        <v>-0.72128762472805907</v>
      </c>
      <c r="D16" s="15">
        <f>a2Am*SIN(a2Aa*PI()/180)</f>
        <v>-0.64945029440712709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  <c r="P16" s="6"/>
      <c r="Q16" s="6"/>
      <c r="R16" s="6"/>
      <c r="S16" s="8"/>
      <c r="T16" s="8"/>
      <c r="U16" s="8"/>
      <c r="V16" s="6"/>
      <c r="W16" s="6"/>
      <c r="X16" s="6"/>
      <c r="Y16" s="6"/>
    </row>
    <row r="17" spans="1:25" ht="15" customHeight="1" x14ac:dyDescent="0.25">
      <c r="A17" s="5"/>
      <c r="B17" s="23" t="s">
        <v>14</v>
      </c>
      <c r="C17" s="14">
        <f>aBm*COS(aBa*PI()/180)</f>
        <v>0.52941176470588236</v>
      </c>
      <c r="D17" s="15">
        <f>aBm*SIN(aBa*PI()/180)</f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  <c r="P17" s="6"/>
      <c r="Q17" s="6"/>
      <c r="R17" s="6"/>
      <c r="S17" s="8"/>
      <c r="T17" s="8"/>
      <c r="U17" s="8"/>
      <c r="V17" s="6"/>
      <c r="W17" s="6"/>
      <c r="X17" s="6"/>
      <c r="Y17" s="6"/>
    </row>
    <row r="18" spans="1:25" ht="15" customHeight="1" x14ac:dyDescent="0.25">
      <c r="A18" s="5"/>
      <c r="B18" s="23" t="s">
        <v>51</v>
      </c>
      <c r="C18" s="14">
        <f>a2Bm*COS(a2Ba*PI()/180)</f>
        <v>-0.26470588235294107</v>
      </c>
      <c r="D18" s="15">
        <f>a2Bm*SIN(a2Ba*PI()/180)</f>
        <v>0.45848403729764403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6"/>
      <c r="Q18" s="6"/>
      <c r="R18" s="6"/>
      <c r="S18" s="8"/>
      <c r="T18" s="8"/>
      <c r="U18" s="8"/>
      <c r="V18" s="6"/>
      <c r="W18" s="6"/>
      <c r="X18" s="6"/>
      <c r="Y18" s="6"/>
    </row>
    <row r="19" spans="1:25" ht="15" customHeight="1" x14ac:dyDescent="0.25">
      <c r="A19" s="5"/>
      <c r="B19" s="24" t="s">
        <v>15</v>
      </c>
      <c r="C19" s="14">
        <f>aCm*COS(aCa*PI()/180)</f>
        <v>1.3345957863804745E-2</v>
      </c>
      <c r="D19" s="15">
        <f>aCm*SIN(aCa*PI()/180)</f>
        <v>-0.76458941394312263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6"/>
      <c r="Q19" s="6"/>
      <c r="R19" s="6"/>
      <c r="S19" s="8"/>
      <c r="T19" s="8"/>
      <c r="U19" s="8"/>
      <c r="V19" s="6"/>
      <c r="W19" s="6"/>
      <c r="X19" s="6"/>
      <c r="Y19" s="6"/>
    </row>
    <row r="20" spans="1:25" ht="15" customHeight="1" x14ac:dyDescent="0.25">
      <c r="A20" s="5"/>
      <c r="B20" s="24" t="s">
        <v>52</v>
      </c>
      <c r="C20" s="14">
        <f>a2Cm*COS(a2Ca*PI()/180)</f>
        <v>0.65548087700749758</v>
      </c>
      <c r="D20" s="15">
        <f>a2Cm*SIN(a2Ca*PI()/180)</f>
        <v>0.39385264551945309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  <c r="P20" s="6"/>
      <c r="Q20" s="6"/>
      <c r="R20" s="6"/>
      <c r="S20" s="8"/>
      <c r="T20" s="8"/>
      <c r="U20" s="8"/>
      <c r="V20" s="6"/>
      <c r="W20" s="6"/>
      <c r="X20" s="6"/>
      <c r="Y20" s="6"/>
    </row>
    <row r="21" spans="1:25" ht="15" customHeight="1" x14ac:dyDescent="0.25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6"/>
      <c r="Q21" s="6"/>
      <c r="R21" s="6"/>
      <c r="S21" s="8"/>
      <c r="T21" s="8"/>
      <c r="U21" s="8"/>
      <c r="V21" s="6"/>
      <c r="W21" s="6"/>
      <c r="X21" s="6"/>
      <c r="Y21" s="6"/>
    </row>
    <row r="22" spans="1:25" ht="15" customHeight="1" x14ac:dyDescent="0.25">
      <c r="A22" s="5"/>
      <c r="C22" s="206" t="s">
        <v>22</v>
      </c>
      <c r="D22" s="206"/>
      <c r="E22" s="206" t="s">
        <v>23</v>
      </c>
      <c r="F22" s="206"/>
      <c r="G22" s="206" t="s">
        <v>24</v>
      </c>
      <c r="H22" s="206"/>
      <c r="I22" s="6"/>
      <c r="J22" s="6"/>
      <c r="K22" s="6"/>
      <c r="L22" s="6"/>
      <c r="M22" s="6"/>
      <c r="N22" s="6"/>
      <c r="O22" s="7"/>
      <c r="P22" s="6"/>
      <c r="Q22" s="6"/>
      <c r="R22" s="6"/>
      <c r="S22" s="8"/>
      <c r="T22" s="8"/>
      <c r="U22" s="8"/>
      <c r="V22" s="6"/>
      <c r="W22" s="6"/>
      <c r="X22" s="6"/>
      <c r="Y22" s="6"/>
    </row>
    <row r="23" spans="1:25" ht="15" customHeight="1" x14ac:dyDescent="0.25">
      <c r="A23" s="5"/>
      <c r="B23" s="209" t="s">
        <v>16</v>
      </c>
      <c r="C23" s="209"/>
      <c r="D23" s="209"/>
      <c r="E23" s="209"/>
      <c r="F23" s="209"/>
      <c r="G23" s="209"/>
      <c r="H23" s="209"/>
      <c r="I23" s="6"/>
      <c r="J23" s="6"/>
      <c r="K23" s="6"/>
      <c r="L23" s="6"/>
      <c r="M23" s="6"/>
      <c r="N23" s="6"/>
      <c r="O23" s="7"/>
      <c r="P23" s="6"/>
      <c r="Q23" s="6"/>
      <c r="R23" s="6"/>
      <c r="S23" s="8"/>
      <c r="T23" s="8"/>
      <c r="U23" s="8"/>
      <c r="V23" s="6"/>
      <c r="W23" s="6"/>
      <c r="X23" s="6"/>
      <c r="Y23" s="6"/>
    </row>
    <row r="24" spans="1:25" ht="15" customHeight="1" x14ac:dyDescent="0.25">
      <c r="A24" s="5"/>
      <c r="B24" s="11"/>
      <c r="C24" s="11">
        <v>0</v>
      </c>
      <c r="D24" s="14">
        <f>Ax</f>
        <v>0.92310000000000003</v>
      </c>
      <c r="E24" s="11">
        <v>0</v>
      </c>
      <c r="F24" s="14">
        <f>Bx</f>
        <v>-0.26469999999999999</v>
      </c>
      <c r="G24" s="11">
        <v>0</v>
      </c>
      <c r="H24" s="14">
        <f>Cx</f>
        <v>-0.66879999999999995</v>
      </c>
      <c r="I24" s="6"/>
      <c r="J24" s="6">
        <f>E24+E28+E32</f>
        <v>0</v>
      </c>
      <c r="K24" s="6">
        <f>F24+F28+F32</f>
        <v>-0.52590000000000003</v>
      </c>
      <c r="L24" s="6"/>
      <c r="M24" s="6"/>
      <c r="N24" s="6">
        <f>C24</f>
        <v>0</v>
      </c>
      <c r="O24" s="6">
        <f>D24</f>
        <v>0.92310000000000003</v>
      </c>
      <c r="P24" s="6">
        <f>O24</f>
        <v>0.92310000000000003</v>
      </c>
      <c r="Q24" s="6">
        <f>P24+F24</f>
        <v>0.6584000000000001</v>
      </c>
      <c r="R24" s="6">
        <f>Q24</f>
        <v>0.6584000000000001</v>
      </c>
      <c r="S24" s="8">
        <f>R24+H24</f>
        <v>-1.0399999999999854E-2</v>
      </c>
      <c r="T24" s="8"/>
      <c r="U24" s="8"/>
      <c r="V24" s="6"/>
      <c r="W24" s="6"/>
      <c r="X24" s="6"/>
      <c r="Y24" s="6"/>
    </row>
    <row r="25" spans="1:25" ht="15" customHeight="1" x14ac:dyDescent="0.25">
      <c r="A25" s="5"/>
      <c r="B25" s="25"/>
      <c r="C25" s="11">
        <v>0</v>
      </c>
      <c r="D25" s="15">
        <f>Ay</f>
        <v>-0.2999</v>
      </c>
      <c r="E25" s="11">
        <v>0</v>
      </c>
      <c r="F25" s="15">
        <f>By</f>
        <v>-0.45850000000000002</v>
      </c>
      <c r="G25" s="11">
        <v>0</v>
      </c>
      <c r="H25" s="15">
        <f>Cy</f>
        <v>0.37069999999999997</v>
      </c>
      <c r="I25" s="6"/>
      <c r="J25" s="6">
        <f>E25+E29+E33</f>
        <v>0</v>
      </c>
      <c r="K25" s="6">
        <f>F25+F29+F33</f>
        <v>-0.78780000000000006</v>
      </c>
      <c r="L25" s="6"/>
      <c r="M25" s="6"/>
      <c r="N25" s="6">
        <f>C25</f>
        <v>0</v>
      </c>
      <c r="O25" s="6">
        <f>D25</f>
        <v>-0.2999</v>
      </c>
      <c r="P25" s="6">
        <f>O25</f>
        <v>-0.2999</v>
      </c>
      <c r="Q25" s="6">
        <f>P25+F25</f>
        <v>-0.75839999999999996</v>
      </c>
      <c r="R25" s="6">
        <f>Q25</f>
        <v>-0.75839999999999996</v>
      </c>
      <c r="S25" s="8">
        <f>R25+H25</f>
        <v>-0.38769999999999999</v>
      </c>
      <c r="T25" s="8"/>
      <c r="U25" s="8"/>
      <c r="V25" s="6"/>
      <c r="W25" s="6"/>
      <c r="X25" s="6"/>
      <c r="Y25" s="6"/>
    </row>
    <row r="26" spans="1:25" ht="15" customHeight="1" x14ac:dyDescent="0.25">
      <c r="A26" s="5"/>
      <c r="I26" s="6"/>
      <c r="J26" s="6"/>
      <c r="K26" s="6"/>
      <c r="L26" s="6"/>
      <c r="M26" s="6"/>
      <c r="N26" s="6"/>
      <c r="O26" s="7"/>
      <c r="P26" s="6"/>
      <c r="Q26" s="6"/>
      <c r="R26" s="6"/>
      <c r="S26" s="8"/>
      <c r="T26" s="8"/>
      <c r="U26" s="8"/>
      <c r="V26" s="6"/>
      <c r="W26" s="6"/>
      <c r="X26" s="6"/>
      <c r="Y26" s="6"/>
    </row>
    <row r="27" spans="1:25" ht="15" customHeight="1" x14ac:dyDescent="0.25">
      <c r="A27" s="5"/>
      <c r="B27" s="207" t="s">
        <v>17</v>
      </c>
      <c r="C27" s="208"/>
      <c r="D27" s="208"/>
      <c r="E27" s="208"/>
      <c r="F27" s="208"/>
      <c r="G27" s="208"/>
      <c r="H27" s="210"/>
      <c r="I27" s="6"/>
      <c r="J27" s="6"/>
      <c r="K27" s="6"/>
      <c r="L27" s="6"/>
      <c r="M27" s="6"/>
      <c r="N27" s="6"/>
      <c r="O27" s="7"/>
      <c r="P27" s="6"/>
      <c r="Q27" s="6"/>
      <c r="R27" s="6"/>
      <c r="S27" s="8"/>
      <c r="T27" s="8"/>
      <c r="U27" s="8"/>
      <c r="V27" s="6"/>
      <c r="W27" s="6"/>
      <c r="X27" s="6"/>
      <c r="Y27" s="6"/>
    </row>
    <row r="28" spans="1:25" ht="15" customHeight="1" x14ac:dyDescent="0.25">
      <c r="A28" s="5"/>
      <c r="B28" s="11"/>
      <c r="C28" s="11">
        <v>0</v>
      </c>
      <c r="D28" s="14">
        <f>A1x</f>
        <v>0.70269999999999999</v>
      </c>
      <c r="E28" s="11">
        <v>0</v>
      </c>
      <c r="F28" s="14">
        <f>B1x</f>
        <v>-0.32419999999999999</v>
      </c>
      <c r="G28" s="11">
        <v>0</v>
      </c>
      <c r="H28" s="14">
        <f>_C1x</f>
        <v>-0.37840000000000001</v>
      </c>
      <c r="I28" s="6"/>
      <c r="J28" s="6"/>
      <c r="K28" s="6"/>
      <c r="L28" s="6"/>
      <c r="M28" s="6"/>
      <c r="N28" s="6"/>
      <c r="O28" s="7"/>
      <c r="P28" s="6"/>
      <c r="Q28" s="6"/>
      <c r="R28" s="6"/>
      <c r="S28" s="8"/>
      <c r="T28" s="8"/>
      <c r="U28" s="8"/>
      <c r="V28" s="6"/>
      <c r="W28" s="6"/>
      <c r="X28" s="6"/>
      <c r="Y28" s="6"/>
    </row>
    <row r="29" spans="1:25" ht="15" customHeight="1" x14ac:dyDescent="0.25">
      <c r="A29" s="5"/>
      <c r="B29" s="25"/>
      <c r="C29" s="11">
        <v>0</v>
      </c>
      <c r="D29" s="15">
        <f>A1y</f>
        <v>3.1300000000000001E-2</v>
      </c>
      <c r="E29" s="11">
        <v>0</v>
      </c>
      <c r="F29" s="15">
        <f>B1y</f>
        <v>-0.62419999999999998</v>
      </c>
      <c r="G29" s="11">
        <v>0</v>
      </c>
      <c r="H29" s="15">
        <f>_C1y</f>
        <v>0.59289999999999998</v>
      </c>
      <c r="I29" s="6"/>
      <c r="J29" s="6"/>
      <c r="K29" s="6"/>
      <c r="L29" s="6"/>
      <c r="M29" s="6"/>
      <c r="N29" s="6"/>
      <c r="O29" s="7"/>
      <c r="P29" s="6"/>
      <c r="Q29" s="6"/>
      <c r="R29" s="6"/>
      <c r="S29" s="8"/>
      <c r="T29" s="8"/>
      <c r="U29" s="8"/>
      <c r="V29" s="6"/>
      <c r="W29" s="6"/>
      <c r="X29" s="6"/>
      <c r="Y29" s="6"/>
    </row>
    <row r="30" spans="1:25" ht="15" customHeight="1" x14ac:dyDescent="0.25">
      <c r="A30" s="5"/>
      <c r="I30" s="6"/>
      <c r="J30" s="6"/>
      <c r="K30" s="6"/>
      <c r="L30" s="6"/>
      <c r="M30" s="6"/>
      <c r="N30" s="6"/>
      <c r="O30" s="7"/>
      <c r="P30" s="6"/>
      <c r="Q30" s="6"/>
      <c r="R30" s="6"/>
      <c r="S30" s="8"/>
      <c r="T30" s="8"/>
      <c r="U30" s="8"/>
      <c r="V30" s="6"/>
      <c r="W30" s="6"/>
      <c r="X30" s="6"/>
      <c r="Y30" s="6"/>
    </row>
    <row r="31" spans="1:25" ht="15" customHeight="1" x14ac:dyDescent="0.25">
      <c r="A31" s="5"/>
      <c r="B31" s="207" t="s">
        <v>18</v>
      </c>
      <c r="C31" s="208"/>
      <c r="D31" s="208"/>
      <c r="E31" s="208"/>
      <c r="F31" s="208"/>
      <c r="G31" s="208"/>
      <c r="H31" s="210"/>
      <c r="I31" s="6"/>
      <c r="J31" s="6"/>
      <c r="K31" s="6"/>
      <c r="L31" s="6"/>
      <c r="M31" s="6"/>
      <c r="N31" s="6"/>
      <c r="O31" s="7"/>
      <c r="P31" s="6"/>
      <c r="Q31" s="6"/>
      <c r="R31" s="6"/>
      <c r="S31" s="8"/>
      <c r="T31" s="8"/>
      <c r="U31" s="8"/>
      <c r="V31" s="6"/>
      <c r="W31" s="6"/>
      <c r="X31" s="6"/>
      <c r="Y31" s="6"/>
    </row>
    <row r="32" spans="1:25" ht="15" customHeight="1" x14ac:dyDescent="0.25">
      <c r="A32" s="5"/>
      <c r="B32" s="11"/>
      <c r="C32" s="11">
        <v>0</v>
      </c>
      <c r="D32" s="14">
        <f>A2x</f>
        <v>0.22389999999999999</v>
      </c>
      <c r="E32" s="11">
        <v>0</v>
      </c>
      <c r="F32" s="14">
        <f>B2x</f>
        <v>6.3E-2</v>
      </c>
      <c r="G32" s="11">
        <v>0</v>
      </c>
      <c r="H32" s="14">
        <f>_C2x</f>
        <v>-0.28689999999999999</v>
      </c>
      <c r="I32" s="6"/>
      <c r="J32" s="6"/>
      <c r="K32" s="6"/>
      <c r="L32" s="6"/>
      <c r="M32" s="6"/>
      <c r="N32" s="6"/>
      <c r="O32" s="7"/>
      <c r="P32" s="6"/>
      <c r="Q32" s="6"/>
      <c r="R32" s="6"/>
      <c r="S32" s="8"/>
      <c r="T32" s="8"/>
      <c r="U32" s="8"/>
      <c r="V32" s="6"/>
      <c r="W32" s="6"/>
      <c r="X32" s="6"/>
      <c r="Y32" s="6"/>
    </row>
    <row r="33" spans="1:25" ht="15" customHeight="1" x14ac:dyDescent="0.25">
      <c r="A33" s="5"/>
      <c r="B33" s="25"/>
      <c r="C33" s="11">
        <v>0</v>
      </c>
      <c r="D33" s="15">
        <f>A2y</f>
        <v>-0.20200000000000001</v>
      </c>
      <c r="E33" s="11">
        <v>0</v>
      </c>
      <c r="F33" s="15">
        <f>B2y</f>
        <v>0.2949</v>
      </c>
      <c r="G33" s="11">
        <v>0</v>
      </c>
      <c r="H33" s="15">
        <f>_C2y</f>
        <v>-9.2899999999999996E-2</v>
      </c>
      <c r="I33" s="6"/>
      <c r="J33" s="6"/>
      <c r="K33" s="6"/>
      <c r="L33" s="6"/>
      <c r="M33" s="6"/>
      <c r="N33" s="6"/>
      <c r="O33" s="7"/>
      <c r="P33" s="6"/>
      <c r="Q33" s="6"/>
      <c r="R33" s="6"/>
      <c r="S33" s="8"/>
      <c r="T33" s="8"/>
      <c r="U33" s="8"/>
      <c r="V33" s="6"/>
      <c r="W33" s="6"/>
      <c r="X33" s="6"/>
      <c r="Y33" s="6"/>
    </row>
    <row r="34" spans="1:25" ht="15" customHeight="1" x14ac:dyDescent="0.25">
      <c r="A34" s="5"/>
      <c r="I34" s="6"/>
      <c r="J34" s="6"/>
      <c r="K34" s="6"/>
      <c r="L34" s="6"/>
      <c r="M34" s="6"/>
      <c r="N34" s="6"/>
      <c r="O34" s="7"/>
      <c r="P34" s="6"/>
      <c r="Q34" s="6"/>
      <c r="R34" s="6"/>
      <c r="S34" s="8"/>
      <c r="T34" s="8"/>
      <c r="U34" s="8"/>
      <c r="V34" s="6"/>
      <c r="W34" s="6"/>
      <c r="X34" s="6"/>
      <c r="Y34" s="6"/>
    </row>
    <row r="35" spans="1:25" ht="15" customHeight="1" x14ac:dyDescent="0.25">
      <c r="A35" s="5"/>
      <c r="B35" s="207" t="s">
        <v>19</v>
      </c>
      <c r="C35" s="208"/>
      <c r="D35" s="208"/>
      <c r="G35" s="9" t="s">
        <v>40</v>
      </c>
      <c r="I35" s="6"/>
      <c r="J35" s="6"/>
      <c r="K35" s="6"/>
      <c r="L35" s="6"/>
      <c r="M35" s="6"/>
      <c r="N35" s="6"/>
      <c r="O35" s="7"/>
      <c r="P35" s="6"/>
      <c r="Q35" s="6"/>
      <c r="R35" s="6"/>
      <c r="S35" s="8"/>
      <c r="T35" s="8"/>
      <c r="U35" s="8"/>
      <c r="V35" s="6"/>
      <c r="W35" s="6"/>
      <c r="X35" s="6"/>
      <c r="Y35" s="6"/>
    </row>
    <row r="36" spans="1:25" ht="15" customHeight="1" x14ac:dyDescent="0.25">
      <c r="A36" s="5"/>
      <c r="B36" s="11"/>
      <c r="C36" s="11">
        <v>0</v>
      </c>
      <c r="D36" s="14">
        <f>A0x</f>
        <v>-3.5000000000000001E-3</v>
      </c>
      <c r="G36" s="9">
        <v>0</v>
      </c>
      <c r="H36" s="14">
        <f>3*D36</f>
        <v>-1.0500000000000001E-2</v>
      </c>
      <c r="I36" s="6"/>
      <c r="J36" s="6"/>
      <c r="K36" s="6"/>
      <c r="L36" s="6"/>
      <c r="M36" s="6"/>
      <c r="N36" s="6"/>
      <c r="O36" s="7"/>
      <c r="P36" s="6"/>
      <c r="Q36" s="6"/>
      <c r="R36" s="6"/>
      <c r="S36" s="8"/>
      <c r="T36" s="8"/>
      <c r="U36" s="8"/>
      <c r="V36" s="6"/>
      <c r="W36" s="6"/>
      <c r="X36" s="6"/>
      <c r="Y36" s="6"/>
    </row>
    <row r="37" spans="1:25" ht="15" customHeight="1" x14ac:dyDescent="0.25">
      <c r="A37" s="5"/>
      <c r="B37" s="25"/>
      <c r="C37" s="11">
        <v>0</v>
      </c>
      <c r="D37" s="15">
        <f>A0y</f>
        <v>-0.12920000000000001</v>
      </c>
      <c r="G37" s="9">
        <v>0</v>
      </c>
      <c r="H37" s="15">
        <f>3*D37</f>
        <v>-0.38760000000000006</v>
      </c>
      <c r="I37" s="6"/>
      <c r="J37" s="6"/>
      <c r="K37" s="6"/>
      <c r="L37" s="6"/>
      <c r="M37" s="6"/>
      <c r="N37" s="6"/>
      <c r="O37" s="7"/>
      <c r="P37" s="6"/>
      <c r="Q37" s="6"/>
      <c r="R37" s="6"/>
      <c r="S37" s="8"/>
      <c r="T37" s="8"/>
      <c r="U37" s="8"/>
      <c r="V37" s="6"/>
      <c r="W37" s="6"/>
      <c r="X37" s="6"/>
      <c r="Y37" s="6"/>
    </row>
    <row r="38" spans="1:25" ht="15" customHeight="1" x14ac:dyDescent="0.25">
      <c r="A38" s="5"/>
      <c r="I38" s="6"/>
      <c r="J38" s="6"/>
      <c r="K38" s="6"/>
      <c r="L38" s="6"/>
      <c r="M38" s="6"/>
      <c r="N38" s="6"/>
      <c r="O38" s="7"/>
      <c r="P38" s="6"/>
      <c r="Q38" s="6"/>
      <c r="R38" s="6"/>
      <c r="S38" s="8"/>
      <c r="T38" s="8"/>
      <c r="U38" s="8"/>
      <c r="V38" s="6"/>
      <c r="W38" s="6"/>
      <c r="X38" s="6"/>
      <c r="Y38" s="6"/>
    </row>
    <row r="39" spans="1:25" ht="15" customHeight="1" x14ac:dyDescent="0.25">
      <c r="A39" s="5"/>
      <c r="B39" s="5">
        <f>IF(Analysis!H3="Auto",(IF(AND(Amag=0,Bmag=0,Cmag=0),10,10*ROUNDUP((MAX(ABS(Amag),ABS(Bmag),ABS(Cmag))/10),0))),Analysis!J3)</f>
        <v>170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  <c r="P39" s="6"/>
      <c r="Q39" s="6"/>
      <c r="R39" s="6"/>
      <c r="S39" s="8"/>
      <c r="T39" s="8"/>
      <c r="U39" s="8"/>
      <c r="V39" s="6"/>
      <c r="W39" s="6"/>
      <c r="X39" s="6"/>
      <c r="Y39" s="6"/>
    </row>
    <row r="40" spans="1:25" ht="15" customHeight="1" x14ac:dyDescent="0.25">
      <c r="A40" s="5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  <c r="P40" s="6"/>
      <c r="Q40" s="6"/>
      <c r="R40" s="6"/>
      <c r="S40" s="8"/>
      <c r="T40" s="8"/>
      <c r="U40" s="8"/>
      <c r="V40" s="6"/>
      <c r="W40" s="6"/>
      <c r="X40" s="6"/>
      <c r="Y40" s="6"/>
    </row>
    <row r="41" spans="1:25" ht="15" customHeight="1" x14ac:dyDescent="0.25">
      <c r="A41" s="5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  <c r="P41" s="6"/>
      <c r="Q41" s="6"/>
      <c r="R41" s="6"/>
      <c r="S41" s="8"/>
      <c r="T41" s="8"/>
      <c r="U41" s="8"/>
      <c r="V41" s="6"/>
      <c r="W41" s="6"/>
      <c r="X41" s="6"/>
      <c r="Y41" s="6"/>
    </row>
    <row r="42" spans="1:25" ht="15" customHeight="1" x14ac:dyDescent="0.25">
      <c r="A42" s="5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  <c r="P42" s="6"/>
      <c r="Q42" s="6"/>
      <c r="R42" s="6"/>
      <c r="S42" s="8"/>
      <c r="T42" s="8"/>
      <c r="U42" s="8"/>
      <c r="V42" s="6"/>
      <c r="W42" s="6"/>
      <c r="X42" s="6"/>
      <c r="Y42" s="6"/>
    </row>
    <row r="43" spans="1:25" ht="15" customHeight="1" x14ac:dyDescent="0.25">
      <c r="A43" s="5"/>
      <c r="C43" s="206"/>
      <c r="D43" s="206"/>
      <c r="E43" s="206"/>
      <c r="F43" s="206"/>
      <c r="G43" s="206"/>
      <c r="H43" s="206"/>
      <c r="I43" s="6"/>
      <c r="J43" s="6"/>
      <c r="K43" s="6"/>
      <c r="L43" s="6"/>
      <c r="M43" s="6"/>
      <c r="N43" s="6"/>
      <c r="O43" s="7"/>
      <c r="P43" s="6"/>
      <c r="Q43" s="6"/>
      <c r="R43" s="6"/>
      <c r="S43" s="8"/>
      <c r="T43" s="8"/>
      <c r="U43" s="8"/>
      <c r="V43" s="6"/>
      <c r="W43" s="6"/>
      <c r="X43" s="6"/>
      <c r="Y43" s="6"/>
    </row>
    <row r="44" spans="1:25" s="26" customFormat="1" ht="15" customHeight="1" x14ac:dyDescent="0.25"/>
    <row r="45" spans="1:25" s="26" customFormat="1" ht="15" customHeight="1" x14ac:dyDescent="0.25"/>
    <row r="46" spans="1:25" s="26" customFormat="1" ht="15" customHeight="1" x14ac:dyDescent="0.25"/>
    <row r="47" spans="1:25" ht="15" customHeight="1" x14ac:dyDescent="0.25">
      <c r="A47" s="5"/>
      <c r="I47" s="6"/>
      <c r="J47" s="6"/>
      <c r="K47" s="26"/>
      <c r="L47" s="26"/>
      <c r="M47" s="26"/>
      <c r="N47" s="26"/>
      <c r="O47" s="26"/>
      <c r="P47" s="26"/>
      <c r="Q47" s="26"/>
      <c r="R47" s="26"/>
      <c r="S47" s="26"/>
      <c r="T47" s="8"/>
      <c r="U47" s="8"/>
      <c r="V47" s="6"/>
      <c r="W47" s="6"/>
      <c r="X47" s="6"/>
      <c r="Y47" s="6"/>
    </row>
    <row r="48" spans="1:25" ht="15" customHeight="1" x14ac:dyDescent="0.25">
      <c r="A48" s="5"/>
      <c r="B48" s="27" t="s">
        <v>0</v>
      </c>
      <c r="C48" s="28"/>
      <c r="D48" s="28" t="s">
        <v>5</v>
      </c>
      <c r="E48" s="28"/>
      <c r="F48" s="28" t="s">
        <v>8</v>
      </c>
      <c r="G48" s="28"/>
      <c r="H48" s="29" t="s">
        <v>9</v>
      </c>
      <c r="I48" s="6"/>
      <c r="J48" s="6"/>
      <c r="K48" s="26"/>
      <c r="L48" s="26"/>
      <c r="M48" s="26"/>
      <c r="N48" s="26"/>
      <c r="O48" s="26"/>
      <c r="P48" s="26"/>
      <c r="Q48" s="26"/>
      <c r="R48" s="26"/>
      <c r="S48" s="26"/>
      <c r="T48" s="8"/>
      <c r="U48" s="8"/>
      <c r="V48" s="6"/>
      <c r="W48" s="6"/>
      <c r="X48" s="6"/>
      <c r="Y48" s="6"/>
    </row>
    <row r="49" spans="1:25" ht="15" customHeight="1" x14ac:dyDescent="0.25">
      <c r="A49" s="5"/>
      <c r="B49" s="30">
        <f>D49+F49+H49</f>
        <v>0.92310000000000003</v>
      </c>
      <c r="C49" s="11">
        <v>0</v>
      </c>
      <c r="D49" s="14">
        <f>A1x</f>
        <v>0.70269999999999999</v>
      </c>
      <c r="E49" s="11">
        <v>0</v>
      </c>
      <c r="F49" s="14">
        <f>A2x</f>
        <v>0.22389999999999999</v>
      </c>
      <c r="G49" s="11">
        <v>0</v>
      </c>
      <c r="H49" s="14">
        <f>A0x</f>
        <v>-3.5000000000000001E-3</v>
      </c>
      <c r="J49" s="6"/>
      <c r="K49" s="26"/>
      <c r="L49" s="26"/>
      <c r="M49" s="26"/>
      <c r="N49" s="26"/>
      <c r="O49" s="26"/>
      <c r="P49" s="26"/>
      <c r="Q49" s="26"/>
      <c r="R49" s="26"/>
      <c r="S49" s="26"/>
      <c r="T49" s="8"/>
      <c r="U49" s="8"/>
      <c r="V49" s="6"/>
      <c r="W49" s="6"/>
      <c r="X49" s="6"/>
      <c r="Y49" s="6"/>
    </row>
    <row r="50" spans="1:25" ht="15" customHeight="1" x14ac:dyDescent="0.25">
      <c r="A50" s="5"/>
      <c r="B50" s="30">
        <f>D50+F50+H50</f>
        <v>-0.29990000000000006</v>
      </c>
      <c r="C50" s="11">
        <v>0</v>
      </c>
      <c r="D50" s="15">
        <f>A1y</f>
        <v>3.1300000000000001E-2</v>
      </c>
      <c r="E50" s="11">
        <v>0</v>
      </c>
      <c r="F50" s="15">
        <f>A2y</f>
        <v>-0.20200000000000001</v>
      </c>
      <c r="G50" s="11">
        <v>0</v>
      </c>
      <c r="H50" s="15">
        <f>A0y</f>
        <v>-0.12920000000000001</v>
      </c>
      <c r="J50" s="6"/>
      <c r="K50" s="26"/>
      <c r="L50" s="26"/>
      <c r="M50" s="26"/>
      <c r="N50" s="26"/>
      <c r="O50" s="26"/>
      <c r="P50" s="26"/>
      <c r="Q50" s="26"/>
      <c r="R50" s="26"/>
      <c r="S50" s="26"/>
      <c r="T50" s="8"/>
      <c r="U50" s="8"/>
      <c r="V50" s="6"/>
      <c r="W50" s="6"/>
      <c r="X50" s="6"/>
      <c r="Y50" s="6"/>
    </row>
    <row r="51" spans="1:25" ht="15" customHeight="1" x14ac:dyDescent="0.25">
      <c r="A51" s="5"/>
      <c r="I51" s="30"/>
      <c r="J51" s="6"/>
      <c r="K51" s="26"/>
      <c r="L51" s="26"/>
      <c r="M51" s="26"/>
      <c r="N51" s="26"/>
      <c r="O51" s="26"/>
      <c r="P51" s="26"/>
      <c r="Q51" s="26"/>
      <c r="R51" s="26"/>
      <c r="S51" s="26"/>
      <c r="T51" s="8"/>
      <c r="U51" s="8"/>
      <c r="V51" s="6"/>
      <c r="W51" s="6"/>
      <c r="X51" s="6"/>
      <c r="Y51" s="6"/>
    </row>
    <row r="52" spans="1:25" ht="15" customHeight="1" x14ac:dyDescent="0.25">
      <c r="A52" s="5"/>
      <c r="B52" s="27" t="s">
        <v>1</v>
      </c>
      <c r="C52" s="28"/>
      <c r="D52" s="28" t="s">
        <v>6</v>
      </c>
      <c r="E52" s="28"/>
      <c r="F52" s="28" t="s">
        <v>10</v>
      </c>
      <c r="G52" s="28"/>
      <c r="H52" s="29" t="s">
        <v>11</v>
      </c>
      <c r="I52" s="30"/>
      <c r="J52" s="6"/>
      <c r="K52" s="26"/>
      <c r="L52" s="26"/>
      <c r="M52" s="26"/>
      <c r="N52" s="26"/>
      <c r="O52" s="26"/>
      <c r="P52" s="26"/>
      <c r="Q52" s="26"/>
      <c r="R52" s="26"/>
      <c r="S52" s="26"/>
      <c r="T52" s="8"/>
      <c r="U52" s="8"/>
      <c r="V52" s="6"/>
      <c r="W52" s="6"/>
      <c r="X52" s="6"/>
      <c r="Y52" s="6"/>
    </row>
    <row r="53" spans="1:25" ht="15" customHeight="1" x14ac:dyDescent="0.25">
      <c r="A53" s="5"/>
      <c r="B53" s="30">
        <f>D53+F53+H53</f>
        <v>-0.26469999999999999</v>
      </c>
      <c r="C53" s="11">
        <v>0</v>
      </c>
      <c r="D53" s="14">
        <f>B1x</f>
        <v>-0.32419999999999999</v>
      </c>
      <c r="E53" s="11">
        <v>0</v>
      </c>
      <c r="F53" s="14">
        <f>B2x</f>
        <v>6.3E-2</v>
      </c>
      <c r="G53" s="11">
        <v>0</v>
      </c>
      <c r="H53" s="14">
        <f>B0x</f>
        <v>-3.5000000000000001E-3</v>
      </c>
      <c r="J53" s="6"/>
      <c r="K53" s="26"/>
      <c r="L53" s="26"/>
      <c r="M53" s="26"/>
      <c r="N53" s="26"/>
      <c r="O53" s="26"/>
      <c r="P53" s="26"/>
      <c r="Q53" s="26"/>
      <c r="R53" s="26"/>
      <c r="S53" s="26"/>
      <c r="T53" s="8"/>
      <c r="U53" s="8"/>
      <c r="V53" s="6"/>
      <c r="W53" s="6"/>
      <c r="X53" s="6"/>
      <c r="Y53" s="6"/>
    </row>
    <row r="54" spans="1:25" ht="15" customHeight="1" x14ac:dyDescent="0.25">
      <c r="B54" s="30">
        <f>D54+F54+H54</f>
        <v>-0.45850000000000002</v>
      </c>
      <c r="C54" s="11">
        <v>0</v>
      </c>
      <c r="D54" s="15">
        <f>B1y</f>
        <v>-0.62419999999999998</v>
      </c>
      <c r="E54" s="11">
        <v>0</v>
      </c>
      <c r="F54" s="15">
        <f>B2y</f>
        <v>0.2949</v>
      </c>
      <c r="G54" s="11">
        <v>0</v>
      </c>
      <c r="H54" s="15">
        <f>B0y</f>
        <v>-0.12920000000000001</v>
      </c>
      <c r="K54" s="26"/>
      <c r="L54" s="26"/>
      <c r="M54" s="26"/>
      <c r="N54" s="26"/>
      <c r="O54" s="26"/>
      <c r="P54" s="26"/>
      <c r="Q54" s="26"/>
      <c r="R54" s="26"/>
      <c r="S54" s="26"/>
    </row>
    <row r="55" spans="1:25" ht="15" customHeight="1" x14ac:dyDescent="0.25">
      <c r="I55" s="31"/>
      <c r="K55" s="26"/>
      <c r="L55" s="26"/>
      <c r="M55" s="26"/>
      <c r="N55" s="26"/>
      <c r="O55" s="26"/>
      <c r="P55" s="26"/>
      <c r="Q55" s="26"/>
      <c r="R55" s="26"/>
      <c r="S55" s="26"/>
    </row>
    <row r="56" spans="1:25" ht="15" customHeight="1" x14ac:dyDescent="0.25">
      <c r="B56" s="27" t="s">
        <v>2</v>
      </c>
      <c r="C56" s="28"/>
      <c r="D56" s="28" t="s">
        <v>7</v>
      </c>
      <c r="E56" s="28"/>
      <c r="F56" s="28" t="s">
        <v>12</v>
      </c>
      <c r="G56" s="28"/>
      <c r="H56" s="29" t="s">
        <v>13</v>
      </c>
      <c r="I56" s="31"/>
      <c r="K56" s="26"/>
      <c r="L56" s="26"/>
      <c r="M56" s="26"/>
      <c r="N56" s="26"/>
      <c r="O56" s="26"/>
      <c r="P56" s="26"/>
      <c r="Q56" s="26"/>
      <c r="R56" s="26"/>
      <c r="S56" s="26"/>
    </row>
    <row r="57" spans="1:25" ht="15" customHeight="1" x14ac:dyDescent="0.25">
      <c r="B57" s="30">
        <f>D57+F57+H57</f>
        <v>-0.66879999999999995</v>
      </c>
      <c r="C57" s="11">
        <v>0</v>
      </c>
      <c r="D57" s="14">
        <f>_C1x</f>
        <v>-0.37840000000000001</v>
      </c>
      <c r="E57" s="11">
        <v>0</v>
      </c>
      <c r="F57" s="14">
        <f>_C2x</f>
        <v>-0.28689999999999999</v>
      </c>
      <c r="G57" s="11">
        <v>0</v>
      </c>
      <c r="H57" s="14">
        <f>C0x</f>
        <v>-3.5000000000000001E-3</v>
      </c>
      <c r="K57" s="26"/>
      <c r="L57" s="26"/>
      <c r="M57" s="26"/>
      <c r="N57" s="26"/>
      <c r="O57" s="26"/>
      <c r="P57" s="26"/>
      <c r="Q57" s="26"/>
      <c r="R57" s="26"/>
      <c r="S57" s="26"/>
    </row>
    <row r="58" spans="1:25" ht="15" customHeight="1" x14ac:dyDescent="0.25">
      <c r="B58" s="30">
        <f>D58+F58+H58</f>
        <v>0.37080000000000002</v>
      </c>
      <c r="C58" s="11">
        <v>0</v>
      </c>
      <c r="D58" s="15">
        <f>_C1y</f>
        <v>0.59289999999999998</v>
      </c>
      <c r="E58" s="11">
        <v>0</v>
      </c>
      <c r="F58" s="15">
        <f>_C2y</f>
        <v>-9.2899999999999996E-2</v>
      </c>
      <c r="G58" s="11">
        <v>0</v>
      </c>
      <c r="H58" s="15">
        <f>C0y</f>
        <v>-0.12920000000000001</v>
      </c>
      <c r="K58" s="26"/>
      <c r="L58" s="26"/>
      <c r="M58" s="26"/>
      <c r="N58" s="26"/>
      <c r="O58" s="26"/>
      <c r="P58" s="26"/>
      <c r="Q58" s="26"/>
      <c r="R58" s="26"/>
      <c r="S58" s="26"/>
    </row>
    <row r="59" spans="1:25" ht="15" customHeight="1" x14ac:dyDescent="0.25">
      <c r="K59" s="26"/>
      <c r="L59" s="26"/>
      <c r="M59" s="26"/>
      <c r="N59" s="26"/>
      <c r="O59" s="26"/>
      <c r="P59" s="26"/>
      <c r="Q59" s="26"/>
      <c r="R59" s="26"/>
      <c r="S59" s="26"/>
    </row>
    <row r="60" spans="1:25" ht="15" customHeight="1" x14ac:dyDescent="0.25">
      <c r="K60" s="26"/>
      <c r="L60" s="26"/>
      <c r="M60" s="26"/>
      <c r="N60" s="26"/>
      <c r="O60" s="26"/>
      <c r="P60" s="26"/>
      <c r="Q60" s="26"/>
      <c r="R60" s="26"/>
      <c r="S60" s="26"/>
    </row>
  </sheetData>
  <sheetProtection algorithmName="SHA-512" hashValue="ybtLxtj+7zK9ADMS3BfV3I+t/J1eJXreJ2AQxgcU++NpA7cNfmXne58R3ShItsjcCaFmS9Osappy8v+EJ6VgCQ==" saltValue="fpnW899B3rhZ4Db/n815Lg==" spinCount="100000" sheet="1" objects="1" scenarios="1"/>
  <mergeCells count="10">
    <mergeCell ref="C43:D43"/>
    <mergeCell ref="E43:F43"/>
    <mergeCell ref="G43:H43"/>
    <mergeCell ref="B35:D35"/>
    <mergeCell ref="E22:F22"/>
    <mergeCell ref="C22:D22"/>
    <mergeCell ref="G22:H22"/>
    <mergeCell ref="B23:H23"/>
    <mergeCell ref="B31:H31"/>
    <mergeCell ref="B27:H27"/>
  </mergeCells>
  <conditionalFormatting sqref="W3:W5">
    <cfRule type="expression" dxfId="1" priority="2">
      <formula>ABS(W3)&gt;0.01</formula>
    </cfRule>
  </conditionalFormatting>
  <conditionalFormatting sqref="X3:X5">
    <cfRule type="expression" dxfId="0" priority="1">
      <formula>ABS(X3)&gt;0.01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horizontalDpi="0" verticalDpi="0" r:id="rId1"/>
  <headerFooter>
    <oddHeader>&amp;L&amp;G</oddHeader>
    <oddFooter>&amp;L&amp;"Tahoma,Regular"&amp;10© 2011 Rod Hughes Consulting Pty Ltd
A.B.N. 64 137 442 089&amp;C&amp;"Tahoma,Regular"&amp;10&amp;A
Page &amp;P of &amp;N&amp;R&amp;"Tahoma,Regular"&amp;10&amp;F
&amp;D 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104</vt:i4>
      </vt:variant>
    </vt:vector>
  </HeadingPairs>
  <TitlesOfParts>
    <vt:vector size="108" baseType="lpstr">
      <vt:lpstr>Polar</vt:lpstr>
      <vt:lpstr>Analysis</vt:lpstr>
      <vt:lpstr>Results</vt:lpstr>
      <vt:lpstr>Plot</vt:lpstr>
      <vt:lpstr>_3I0x</vt:lpstr>
      <vt:lpstr>_3I0y</vt:lpstr>
      <vt:lpstr>_C1x</vt:lpstr>
      <vt:lpstr>_C1y</vt:lpstr>
      <vt:lpstr>_C2x</vt:lpstr>
      <vt:lpstr>_C2y</vt:lpstr>
      <vt:lpstr>A0x</vt:lpstr>
      <vt:lpstr>A0y</vt:lpstr>
      <vt:lpstr>A1m</vt:lpstr>
      <vt:lpstr>A1x</vt:lpstr>
      <vt:lpstr>A1y</vt:lpstr>
      <vt:lpstr>a2Aa</vt:lpstr>
      <vt:lpstr>a2Am</vt:lpstr>
      <vt:lpstr>a2Ax</vt:lpstr>
      <vt:lpstr>a2Ay</vt:lpstr>
      <vt:lpstr>a2Ba</vt:lpstr>
      <vt:lpstr>a2Bm</vt:lpstr>
      <vt:lpstr>a2Bx</vt:lpstr>
      <vt:lpstr>a2By</vt:lpstr>
      <vt:lpstr>a2Ca</vt:lpstr>
      <vt:lpstr>a2Cm</vt:lpstr>
      <vt:lpstr>a2Cx</vt:lpstr>
      <vt:lpstr>a2Cy</vt:lpstr>
      <vt:lpstr>A2x</vt:lpstr>
      <vt:lpstr>A2y</vt:lpstr>
      <vt:lpstr>Aa</vt:lpstr>
      <vt:lpstr>aAa</vt:lpstr>
      <vt:lpstr>aAm</vt:lpstr>
      <vt:lpstr>Aang</vt:lpstr>
      <vt:lpstr>aAx</vt:lpstr>
      <vt:lpstr>aAy</vt:lpstr>
      <vt:lpstr>aBa</vt:lpstr>
      <vt:lpstr>aBm</vt:lpstr>
      <vt:lpstr>aBx</vt:lpstr>
      <vt:lpstr>aBy</vt:lpstr>
      <vt:lpstr>aCa</vt:lpstr>
      <vt:lpstr>aCm</vt:lpstr>
      <vt:lpstr>aCx</vt:lpstr>
      <vt:lpstr>aCy</vt:lpstr>
      <vt:lpstr>Am</vt:lpstr>
      <vt:lpstr>Amag</vt:lpstr>
      <vt:lpstr>AngA</vt:lpstr>
      <vt:lpstr>AngB</vt:lpstr>
      <vt:lpstr>AngC</vt:lpstr>
      <vt:lpstr>Ax</vt:lpstr>
      <vt:lpstr>Ay</vt:lpstr>
      <vt:lpstr>B0x</vt:lpstr>
      <vt:lpstr>B0y</vt:lpstr>
      <vt:lpstr>B1a</vt:lpstr>
      <vt:lpstr>B1m</vt:lpstr>
      <vt:lpstr>B1x</vt:lpstr>
      <vt:lpstr>B1y</vt:lpstr>
      <vt:lpstr>B2x</vt:lpstr>
      <vt:lpstr>B2y</vt:lpstr>
      <vt:lpstr>Ba</vt:lpstr>
      <vt:lpstr>Bang</vt:lpstr>
      <vt:lpstr>Bm</vt:lpstr>
      <vt:lpstr>Bmag</vt:lpstr>
      <vt:lpstr>Bx</vt:lpstr>
      <vt:lpstr>By</vt:lpstr>
      <vt:lpstr>C0x</vt:lpstr>
      <vt:lpstr>C0y</vt:lpstr>
      <vt:lpstr>Ca</vt:lpstr>
      <vt:lpstr>Cang</vt:lpstr>
      <vt:lpstr>Cm</vt:lpstr>
      <vt:lpstr>Cmag</vt:lpstr>
      <vt:lpstr>Cx</vt:lpstr>
      <vt:lpstr>Cy</vt:lpstr>
      <vt:lpstr>IneutMag</vt:lpstr>
      <vt:lpstr>MagA</vt:lpstr>
      <vt:lpstr>MagB</vt:lpstr>
      <vt:lpstr>MagC</vt:lpstr>
      <vt:lpstr>Method</vt:lpstr>
      <vt:lpstr>NegAngA</vt:lpstr>
      <vt:lpstr>NegAngB</vt:lpstr>
      <vt:lpstr>NegAngC</vt:lpstr>
      <vt:lpstr>NegMag</vt:lpstr>
      <vt:lpstr>NegMagA</vt:lpstr>
      <vt:lpstr>NegMagB</vt:lpstr>
      <vt:lpstr>NegMagC</vt:lpstr>
      <vt:lpstr>Neutral</vt:lpstr>
      <vt:lpstr>PerUnit</vt:lpstr>
      <vt:lpstr>PosAngA</vt:lpstr>
      <vt:lpstr>PosAngB</vt:lpstr>
      <vt:lpstr>PosAngC</vt:lpstr>
      <vt:lpstr>PosMag</vt:lpstr>
      <vt:lpstr>PosMagA</vt:lpstr>
      <vt:lpstr>PosMagB</vt:lpstr>
      <vt:lpstr>PosMagC</vt:lpstr>
      <vt:lpstr>Analysis!Print_Area</vt:lpstr>
      <vt:lpstr>PU</vt:lpstr>
      <vt:lpstr>Suggest</vt:lpstr>
      <vt:lpstr>ThreeI0Ang</vt:lpstr>
      <vt:lpstr>ThreeI0Mag</vt:lpstr>
      <vt:lpstr>ThreeZero</vt:lpstr>
      <vt:lpstr>Type</vt:lpstr>
      <vt:lpstr>Units</vt:lpstr>
      <vt:lpstr>ZeroAngA</vt:lpstr>
      <vt:lpstr>ZeroAngB</vt:lpstr>
      <vt:lpstr>ZeroAngC</vt:lpstr>
      <vt:lpstr>ZeroMag</vt:lpstr>
      <vt:lpstr>ZeroMagA</vt:lpstr>
      <vt:lpstr>ZeroMagB</vt:lpstr>
      <vt:lpstr>ZeroMagC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</dc:title>
  <dc:subject>Subject</dc:subject>
  <dc:creator>Rod Hughes</dc:creator>
  <cp:lastModifiedBy>Rodney Hughes</cp:lastModifiedBy>
  <cp:lastPrinted>2020-07-17T04:54:21Z</cp:lastPrinted>
  <dcterms:created xsi:type="dcterms:W3CDTF">2011-03-25T08:31:33Z</dcterms:created>
  <dcterms:modified xsi:type="dcterms:W3CDTF">2021-01-26T09:39:25Z</dcterms:modified>
</cp:coreProperties>
</file>