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41" lockStructure="1"/>
  <bookViews>
    <workbookView xWindow="120" yWindow="75" windowWidth="22995" windowHeight="11565"/>
  </bookViews>
  <sheets>
    <sheet name="IEEE 141 Fig 3-11" sheetId="4" r:id="rId1"/>
  </sheets>
  <definedNames>
    <definedName name="Iload_a">#REF!</definedName>
    <definedName name="Iload_m">#REF!</definedName>
    <definedName name="_xlnm.Print_Area" localSheetId="0">'IEEE 141 Fig 3-11'!$A$1:$I$27</definedName>
    <definedName name="Rcable">#REF!</definedName>
    <definedName name="Rload">#REF!</definedName>
    <definedName name="Rtotal">#REF!</definedName>
    <definedName name="Vcable_a">#REF!</definedName>
    <definedName name="Vcable_m">#REF!</definedName>
    <definedName name="Vload_a">#REF!</definedName>
    <definedName name="Vload_m">#REF!</definedName>
    <definedName name="Vsource_a">#REF!</definedName>
    <definedName name="Vsoure_m">#REF!</definedName>
    <definedName name="Xcable">#REF!</definedName>
    <definedName name="Xload">#REF!</definedName>
    <definedName name="Xtotal">#REF!</definedName>
    <definedName name="Zcable_a">#REF!</definedName>
    <definedName name="Zcable_m">#REF!</definedName>
    <definedName name="Zload_a">#REF!</definedName>
    <definedName name="Zload_m">#REF!</definedName>
    <definedName name="Ztotal_a">#REF!</definedName>
    <definedName name="Ztotal_m">#REF!</definedName>
  </definedNames>
  <calcPr calcId="145621"/>
</workbook>
</file>

<file path=xl/calcChain.xml><?xml version="1.0" encoding="utf-8"?>
<calcChain xmlns="http://schemas.openxmlformats.org/spreadsheetml/2006/main">
  <c r="F8" i="4" l="1"/>
  <c r="E11" i="4" s="1"/>
  <c r="E10" i="4"/>
  <c r="E9" i="4" l="1"/>
  <c r="I16" i="4"/>
  <c r="H16" i="4"/>
  <c r="E27" i="4" s="1"/>
  <c r="AK6" i="4"/>
  <c r="AK4" i="4"/>
  <c r="F16" i="4" l="1"/>
  <c r="C74" i="4"/>
  <c r="B74" i="4"/>
  <c r="C70" i="4"/>
  <c r="B70" i="4"/>
  <c r="I6" i="4"/>
  <c r="AM7" i="4" s="1"/>
  <c r="H6" i="4"/>
  <c r="AM6" i="4" s="1"/>
  <c r="I4" i="4" l="1"/>
  <c r="AM5" i="4" s="1"/>
  <c r="H4" i="4"/>
  <c r="AM4" i="4" s="1"/>
  <c r="F19" i="4"/>
  <c r="E16" i="4"/>
  <c r="E19" i="4" s="1"/>
  <c r="E26" i="4" s="1"/>
  <c r="AK19" i="4" l="1"/>
  <c r="AL70" i="4"/>
  <c r="AO19" i="4"/>
  <c r="AL71" i="4"/>
  <c r="AO20" i="4"/>
  <c r="D74" i="4"/>
  <c r="AJ74" i="4" s="1"/>
  <c r="I19" i="4"/>
  <c r="E74" i="4" l="1"/>
  <c r="AJ75" i="4" s="1"/>
  <c r="E70" i="4"/>
  <c r="AJ71" i="4" s="1"/>
  <c r="AM71" i="4" s="1"/>
  <c r="AL75" i="4" s="1"/>
  <c r="D70" i="4"/>
  <c r="AJ70" i="4" s="1"/>
  <c r="AM70" i="4" s="1"/>
  <c r="AL74" i="4" s="1"/>
  <c r="AM74" i="4" s="1"/>
  <c r="I22" i="4"/>
  <c r="AM23" i="4" s="1"/>
  <c r="AM20" i="4"/>
  <c r="AP20" i="4" s="1"/>
  <c r="H19" i="4"/>
  <c r="AM75" i="4" l="1"/>
  <c r="H22" i="4"/>
  <c r="F22" i="4" s="1"/>
  <c r="AM19" i="4"/>
  <c r="AP19" i="4" s="1"/>
  <c r="E22" i="4" l="1"/>
  <c r="AM22" i="4"/>
  <c r="E25" i="4" l="1"/>
  <c r="AM27" i="4" s="1"/>
  <c r="F27" i="4" s="1"/>
  <c r="AK22" i="4"/>
</calcChain>
</file>

<file path=xl/sharedStrings.xml><?xml version="1.0" encoding="utf-8"?>
<sst xmlns="http://schemas.openxmlformats.org/spreadsheetml/2006/main" count="33" uniqueCount="29">
  <si>
    <t>Rcable</t>
  </si>
  <si>
    <t>Xcable</t>
  </si>
  <si>
    <t>Vsource</t>
  </si>
  <si>
    <t>Iload</t>
  </si>
  <si>
    <t>Magnitude</t>
  </si>
  <si>
    <t>Angle</t>
  </si>
  <si>
    <t>Resistive</t>
  </si>
  <si>
    <t>Reactive</t>
  </si>
  <si>
    <t>Vload_ph-n</t>
  </si>
  <si>
    <t>Iload x Zcable</t>
  </si>
  <si>
    <t>Iload x Rcable</t>
  </si>
  <si>
    <t>Iload x Xcable</t>
  </si>
  <si>
    <t>The voltage magnitude end-to-end across the cable is</t>
  </si>
  <si>
    <t>IEEE Formula</t>
  </si>
  <si>
    <t>Vcable</t>
  </si>
  <si>
    <t>Total Zcable</t>
  </si>
  <si>
    <t>We know the line impedance from the cable data 
Rcable + jXcable per metre:</t>
  </si>
  <si>
    <t>Length of Cable (metres)</t>
  </si>
  <si>
    <t>ç</t>
  </si>
  <si>
    <t>è</t>
  </si>
  <si>
    <t>ê</t>
  </si>
  <si>
    <r>
      <t xml:space="preserve">The voltage appearing end-to-end of the cable will be Vcable =I x Z
(i.e. </t>
    </r>
    <r>
      <rPr>
        <sz val="11"/>
        <color rgb="FFFF0000"/>
        <rFont val="Tahoma"/>
        <family val="2"/>
      </rPr>
      <t>multiply vector magnitude</t>
    </r>
    <r>
      <rPr>
        <sz val="11"/>
        <color theme="1"/>
        <rFont val="Tahoma"/>
        <family val="2"/>
      </rPr>
      <t xml:space="preserve">, </t>
    </r>
    <r>
      <rPr>
        <sz val="11"/>
        <color rgb="FF0070C0"/>
        <rFont val="Tahoma"/>
        <family val="2"/>
      </rPr>
      <t>add vector angles</t>
    </r>
    <r>
      <rPr>
        <sz val="11"/>
        <color theme="1"/>
        <rFont val="Tahoma"/>
        <family val="2"/>
      </rPr>
      <t>)</t>
    </r>
  </si>
  <si>
    <r>
      <t xml:space="preserve">Vsource is the sum of Vload_ph-n plus the Vcable 
(i.e. add the respective </t>
    </r>
    <r>
      <rPr>
        <sz val="11"/>
        <color rgb="FF7030A0"/>
        <rFont val="Tahoma"/>
        <family val="2"/>
      </rPr>
      <t>resistive</t>
    </r>
    <r>
      <rPr>
        <sz val="11"/>
        <color theme="1"/>
        <rFont val="Tahoma"/>
        <family val="2"/>
      </rPr>
      <t xml:space="preserve"> and </t>
    </r>
    <r>
      <rPr>
        <sz val="11"/>
        <color theme="9" tint="-0.249977111117893"/>
        <rFont val="Tahoma"/>
        <family val="2"/>
      </rPr>
      <t>reactive</t>
    </r>
    <r>
      <rPr>
        <sz val="11"/>
        <color theme="1"/>
        <rFont val="Tahoma"/>
        <family val="2"/>
      </rPr>
      <t xml:space="preserve"> components)</t>
    </r>
  </si>
  <si>
    <t>This spreadsheet calculates the value of the source voltage for a given load voltage, load current and cable impedance.
This is presented according to the arrangement shown in IEEE 141 Fig 3-11. 
This also allows an assessment of the accuracy of the IEEE 141 simplified estimate formula.
Instructions: fill in the yellow highlighted cells with your plant data</t>
  </si>
  <si>
    <t>The difference in magnitude of Vsource compared to Vload_ph-n is</t>
  </si>
  <si>
    <r>
      <t>Load Power Factor (Cosθ</t>
    </r>
    <r>
      <rPr>
        <sz val="8.8000000000000007"/>
        <color theme="1"/>
        <rFont val="Tahoma"/>
        <family val="2"/>
      </rPr>
      <t>)</t>
    </r>
  </si>
  <si>
    <t>Power Factor Quadrant</t>
  </si>
  <si>
    <t>Total angle difference Iload relative to Vload θ</t>
  </si>
  <si>
    <t>Reactive Factor (Sinθ)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</si>
</sst>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Tahoma"/>
      <family val="2"/>
    </font>
    <font>
      <sz val="11"/>
      <color theme="0"/>
      <name val="Tahoma"/>
      <family val="2"/>
    </font>
    <font>
      <b/>
      <sz val="11"/>
      <color rgb="FFFF0000"/>
      <name val="Tahoma"/>
      <family val="2"/>
    </font>
    <font>
      <b/>
      <sz val="11"/>
      <color rgb="FF0070C0"/>
      <name val="Tahoma"/>
      <family val="2"/>
    </font>
    <font>
      <sz val="11"/>
      <color rgb="FF0070C0"/>
      <name val="Tahoma"/>
      <family val="2"/>
    </font>
    <font>
      <sz val="11"/>
      <color theme="9" tint="-0.249977111117893"/>
      <name val="Tahoma"/>
      <family val="2"/>
    </font>
    <font>
      <sz val="11"/>
      <color rgb="FFFFFF00"/>
      <name val="Tahoma"/>
      <family val="2"/>
    </font>
    <font>
      <sz val="11"/>
      <color rgb="FF7030A0"/>
      <name val="Tahoma"/>
      <family val="2"/>
    </font>
    <font>
      <b/>
      <sz val="11"/>
      <color theme="1"/>
      <name val="Wingdings"/>
      <charset val="2"/>
    </font>
    <font>
      <sz val="11"/>
      <color theme="1"/>
      <name val="Wingdings"/>
      <charset val="2"/>
    </font>
    <font>
      <sz val="8.8000000000000007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164" fontId="7" fillId="2" borderId="1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10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10" fillId="0" borderId="0" xfId="0" applyFont="1" applyFill="1" applyProtection="1"/>
    <xf numFmtId="2" fontId="10" fillId="0" borderId="0" xfId="0" applyNumberFormat="1" applyFont="1" applyFill="1" applyProtection="1"/>
    <xf numFmtId="164" fontId="5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left"/>
    </xf>
    <xf numFmtId="2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 vertical="center"/>
    </xf>
    <xf numFmtId="2" fontId="5" fillId="0" borderId="0" xfId="0" applyNumberFormat="1" applyFont="1" applyFill="1" applyAlignment="1" applyProtection="1"/>
    <xf numFmtId="2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vertical="center"/>
    </xf>
    <xf numFmtId="2" fontId="13" fillId="0" borderId="1" xfId="0" applyNumberFormat="1" applyFont="1" applyFill="1" applyBorder="1" applyAlignment="1" applyProtection="1">
      <alignment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vertical="center"/>
    </xf>
    <xf numFmtId="165" fontId="13" fillId="0" borderId="1" xfId="0" applyNumberFormat="1" applyFont="1" applyFill="1" applyBorder="1" applyAlignment="1" applyProtection="1">
      <alignment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16" fillId="0" borderId="1" xfId="0" applyNumberFormat="1" applyFont="1" applyFill="1" applyBorder="1" applyAlignment="1" applyProtection="1"/>
    <xf numFmtId="165" fontId="14" fillId="0" borderId="1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/>
    <xf numFmtId="9" fontId="10" fillId="0" borderId="0" xfId="1" applyFont="1" applyFill="1" applyAlignment="1" applyProtection="1"/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2" fontId="5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0" fontId="15" fillId="4" borderId="8" xfId="0" applyFont="1" applyFill="1" applyBorder="1" applyAlignment="1" applyProtection="1">
      <alignment horizontal="left"/>
    </xf>
    <xf numFmtId="0" fontId="15" fillId="4" borderId="9" xfId="0" applyFont="1" applyFill="1" applyBorder="1" applyAlignment="1" applyProtection="1">
      <alignment horizontal="left"/>
    </xf>
    <xf numFmtId="0" fontId="15" fillId="4" borderId="1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165" fontId="12" fillId="2" borderId="11" xfId="0" applyNumberFormat="1" applyFont="1" applyFill="1" applyBorder="1" applyAlignment="1" applyProtection="1">
      <alignment horizontal="right" vertical="center"/>
      <protection locked="0"/>
    </xf>
    <xf numFmtId="165" fontId="12" fillId="2" borderId="12" xfId="0" applyNumberFormat="1" applyFont="1" applyFill="1" applyBorder="1" applyAlignment="1" applyProtection="1">
      <alignment horizontal="right" vertical="center"/>
      <protection locked="0"/>
    </xf>
    <xf numFmtId="165" fontId="16" fillId="0" borderId="11" xfId="0" applyNumberFormat="1" applyFont="1" applyFill="1" applyBorder="1" applyAlignment="1" applyProtection="1">
      <alignment horizontal="right" vertical="center"/>
    </xf>
    <xf numFmtId="165" fontId="16" fillId="0" borderId="12" xfId="0" applyNumberFormat="1" applyFont="1" applyFill="1" applyBorder="1" applyAlignment="1" applyProtection="1">
      <alignment horizontal="right" vertical="center"/>
    </xf>
    <xf numFmtId="165" fontId="14" fillId="0" borderId="11" xfId="0" applyNumberFormat="1" applyFont="1" applyFill="1" applyBorder="1" applyAlignment="1" applyProtection="1">
      <alignment horizontal="right" vertical="center"/>
    </xf>
    <xf numFmtId="165" fontId="14" fillId="0" borderId="12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wrapText="1"/>
    </xf>
    <xf numFmtId="0" fontId="5" fillId="0" borderId="8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right" vertical="top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165" fontId="7" fillId="2" borderId="11" xfId="0" applyNumberFormat="1" applyFont="1" applyFill="1" applyBorder="1" applyAlignment="1" applyProtection="1">
      <alignment horizontal="right" vertical="center"/>
      <protection locked="0"/>
    </xf>
    <xf numFmtId="165" fontId="7" fillId="2" borderId="12" xfId="0" applyNumberFormat="1" applyFont="1" applyFill="1" applyBorder="1" applyAlignment="1" applyProtection="1">
      <alignment horizontal="right" vertical="center"/>
      <protection locked="0"/>
    </xf>
    <xf numFmtId="165" fontId="11" fillId="2" borderId="11" xfId="0" applyNumberFormat="1" applyFont="1" applyFill="1" applyBorder="1" applyAlignment="1" applyProtection="1">
      <alignment horizontal="right" vertical="center"/>
      <protection locked="0"/>
    </xf>
    <xf numFmtId="165" fontId="11" fillId="2" borderId="12" xfId="0" applyNumberFormat="1" applyFont="1" applyFill="1" applyBorder="1" applyAlignment="1" applyProtection="1">
      <alignment horizontal="right" vertical="center"/>
      <protection locked="0"/>
    </xf>
    <xf numFmtId="165" fontId="5" fillId="0" borderId="11" xfId="0" applyNumberFormat="1" applyFont="1" applyFill="1" applyBorder="1" applyAlignment="1" applyProtection="1">
      <alignment horizontal="right" vertical="center"/>
    </xf>
    <xf numFmtId="165" fontId="5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horizontal="right" vertical="top" wrapText="1"/>
    </xf>
    <xf numFmtId="0" fontId="1" fillId="0" borderId="8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1846506991503E-2"/>
          <c:y val="2.3176876337585216E-2"/>
          <c:w val="0.20417466949935867"/>
          <c:h val="0.9536460482172884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'IEEE 141 Fig 3-11'!$AK$4</c:f>
              <c:strCache>
                <c:ptCount val="1"/>
                <c:pt idx="0">
                  <c:v>Vload 1000 V @ 0 deg</c:v>
                </c:pt>
              </c:strCache>
            </c:strRef>
          </c:tx>
          <c:spPr>
            <a:ln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'IEEE 141 Fig 3-11'!$AL$4:$AM$4</c:f>
              <c:numCache>
                <c:formatCode>0.00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'IEEE 141 Fig 3-11'!$AL$5:$AM$5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'IEEE 141 Fig 3-11'!$AK$6</c:f>
              <c:strCache>
                <c:ptCount val="1"/>
                <c:pt idx="0">
                  <c:v>Iload 500 A @ -30 deg</c:v>
                </c:pt>
              </c:strCache>
            </c:strRef>
          </c:tx>
          <c:spPr>
            <a:ln>
              <a:tailEnd type="stealth"/>
            </a:ln>
          </c:spPr>
          <c:marker>
            <c:symbol val="none"/>
          </c:marker>
          <c:xVal>
            <c:numRef>
              <c:f>'IEEE 141 Fig 3-11'!$AL$6:$AM$6</c:f>
              <c:numCache>
                <c:formatCode>0.00</c:formatCode>
                <c:ptCount val="2"/>
                <c:pt idx="0">
                  <c:v>0</c:v>
                </c:pt>
                <c:pt idx="1">
                  <c:v>433.01270189221935</c:v>
                </c:pt>
              </c:numCache>
            </c:numRef>
          </c:xVal>
          <c:yVal>
            <c:numRef>
              <c:f>'IEEE 141 Fig 3-11'!$AL$7:$AM$7</c:f>
              <c:numCache>
                <c:formatCode>0.00</c:formatCode>
                <c:ptCount val="2"/>
                <c:pt idx="0">
                  <c:v>0</c:v>
                </c:pt>
                <c:pt idx="1">
                  <c:v>-249.99999999999997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'IEEE 141 Fig 3-11'!$AK$19</c:f>
              <c:strCache>
                <c:ptCount val="1"/>
                <c:pt idx="0">
                  <c:v>Vcable 901.4 V @ 26.3 deg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'IEEE 141 Fig 3-11'!$AL$19:$AM$19</c:f>
              <c:numCache>
                <c:formatCode>0.00</c:formatCode>
                <c:ptCount val="2"/>
                <c:pt idx="0">
                  <c:v>0</c:v>
                </c:pt>
                <c:pt idx="1">
                  <c:v>808.01270189221918</c:v>
                </c:pt>
              </c:numCache>
            </c:numRef>
          </c:xVal>
          <c:yVal>
            <c:numRef>
              <c:f>'IEEE 141 Fig 3-11'!$AL$20:$AM$20</c:f>
              <c:numCache>
                <c:formatCode>0.00</c:formatCode>
                <c:ptCount val="2"/>
                <c:pt idx="0">
                  <c:v>0</c:v>
                </c:pt>
                <c:pt idx="1">
                  <c:v>399.519052838329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'IEEE 141 Fig 3-11'!$AK$70</c:f>
              <c:strCache>
                <c:ptCount val="1"/>
                <c:pt idx="0">
                  <c:v>Iload x Rcable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  <a:prstDash val="sysDot"/>
              <a:tailEnd type="arrow"/>
            </a:ln>
          </c:spPr>
          <c:marker>
            <c:symbol val="none"/>
          </c:marker>
          <c:xVal>
            <c:numRef>
              <c:f>'IEEE 141 Fig 3-11'!$AL$70:$AM$70</c:f>
              <c:numCache>
                <c:formatCode>0.00</c:formatCode>
                <c:ptCount val="2"/>
                <c:pt idx="0">
                  <c:v>1000</c:v>
                </c:pt>
                <c:pt idx="1">
                  <c:v>1433.0127018922194</c:v>
                </c:pt>
              </c:numCache>
            </c:numRef>
          </c:xVal>
          <c:yVal>
            <c:numRef>
              <c:f>'IEEE 141 Fig 3-11'!$AL$71:$AM$71</c:f>
              <c:numCache>
                <c:formatCode>0.00</c:formatCode>
                <c:ptCount val="2"/>
                <c:pt idx="0">
                  <c:v>0</c:v>
                </c:pt>
                <c:pt idx="1">
                  <c:v>-249.99999999999997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'IEEE 141 Fig 3-11'!$AK$74</c:f>
              <c:strCache>
                <c:ptCount val="1"/>
                <c:pt idx="0">
                  <c:v>Iload x Xcable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  <a:prstDash val="sysDash"/>
              <a:tailEnd type="stealth"/>
            </a:ln>
          </c:spPr>
          <c:marker>
            <c:symbol val="none"/>
          </c:marker>
          <c:xVal>
            <c:numRef>
              <c:f>'IEEE 141 Fig 3-11'!$AL$74:$AM$74</c:f>
              <c:numCache>
                <c:formatCode>0.00</c:formatCode>
                <c:ptCount val="2"/>
                <c:pt idx="0">
                  <c:v>1433.0127018922194</c:v>
                </c:pt>
                <c:pt idx="1">
                  <c:v>1808.0127018922194</c:v>
                </c:pt>
              </c:numCache>
            </c:numRef>
          </c:xVal>
          <c:yVal>
            <c:numRef>
              <c:f>'IEEE 141 Fig 3-11'!$AL$75:$AM$75</c:f>
              <c:numCache>
                <c:formatCode>0.00</c:formatCode>
                <c:ptCount val="2"/>
                <c:pt idx="0">
                  <c:v>-249.99999999999997</c:v>
                </c:pt>
                <c:pt idx="1">
                  <c:v>399.519052838329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'IEEE 141 Fig 3-11'!$AN$19</c:f>
              <c:strCache>
                <c:ptCount val="1"/>
                <c:pt idx="0">
                  <c:v>Iload x Zcable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  <a:tailEnd type="stealth"/>
            </a:ln>
          </c:spPr>
          <c:marker>
            <c:symbol val="none"/>
          </c:marker>
          <c:xVal>
            <c:numRef>
              <c:f>'IEEE 141 Fig 3-11'!$AO$19:$AP$19</c:f>
              <c:numCache>
                <c:formatCode>0.00</c:formatCode>
                <c:ptCount val="2"/>
                <c:pt idx="0">
                  <c:v>1000</c:v>
                </c:pt>
                <c:pt idx="1">
                  <c:v>1808.0127018922192</c:v>
                </c:pt>
              </c:numCache>
            </c:numRef>
          </c:xVal>
          <c:yVal>
            <c:numRef>
              <c:f>'IEEE 141 Fig 3-11'!$AO$20:$AP$20</c:f>
              <c:numCache>
                <c:formatCode>0.00</c:formatCode>
                <c:ptCount val="2"/>
                <c:pt idx="0">
                  <c:v>0</c:v>
                </c:pt>
                <c:pt idx="1">
                  <c:v>399.519052838329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'IEEE 141 Fig 3-11'!$AK$22</c:f>
              <c:strCache>
                <c:ptCount val="1"/>
                <c:pt idx="0">
                  <c:v>Vsource 1851.6 V @ 12.5 deg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'IEEE 141 Fig 3-11'!$AL$22:$AM$22</c:f>
              <c:numCache>
                <c:formatCode>0.00</c:formatCode>
                <c:ptCount val="2"/>
                <c:pt idx="0">
                  <c:v>0</c:v>
                </c:pt>
                <c:pt idx="1">
                  <c:v>1808.0127018922192</c:v>
                </c:pt>
              </c:numCache>
            </c:numRef>
          </c:xVal>
          <c:yVal>
            <c:numRef>
              <c:f>'IEEE 141 Fig 3-11'!$AL$23:$AM$23</c:f>
              <c:numCache>
                <c:formatCode>0.00</c:formatCode>
                <c:ptCount val="2"/>
                <c:pt idx="0">
                  <c:v>0</c:v>
                </c:pt>
                <c:pt idx="1">
                  <c:v>399.519052838329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94304"/>
        <c:axId val="375395840"/>
      </c:scatterChart>
      <c:valAx>
        <c:axId val="3753943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one"/>
        <c:spPr>
          <a:ln>
            <a:noFill/>
          </a:ln>
        </c:spPr>
        <c:crossAx val="375395840"/>
        <c:crosses val="autoZero"/>
        <c:crossBetween val="midCat"/>
      </c:valAx>
      <c:valAx>
        <c:axId val="375395840"/>
        <c:scaling>
          <c:orientation val="minMax"/>
          <c:max val="2000"/>
          <c:min val="-2000"/>
        </c:scaling>
        <c:delete val="0"/>
        <c:axPos val="l"/>
        <c:numFmt formatCode="0.00" sourceLinked="1"/>
        <c:majorTickMark val="out"/>
        <c:minorTickMark val="none"/>
        <c:tickLblPos val="none"/>
        <c:spPr>
          <a:ln>
            <a:noFill/>
          </a:ln>
        </c:spPr>
        <c:crossAx val="375394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40481</xdr:rowOff>
    </xdr:from>
    <xdr:to>
      <xdr:col>8</xdr:col>
      <xdr:colOff>695325</xdr:colOff>
      <xdr:row>1</xdr:row>
      <xdr:rowOff>2500312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5"/>
  <sheetViews>
    <sheetView showGridLines="0" tabSelected="1" zoomScale="80" zoomScaleNormal="80" zoomScalePageLayoutView="110" workbookViewId="0">
      <selection activeCell="N14" sqref="N14"/>
    </sheetView>
  </sheetViews>
  <sheetFormatPr defaultColWidth="10.7109375" defaultRowHeight="15" customHeight="1" x14ac:dyDescent="0.2"/>
  <cols>
    <col min="1" max="1" width="38.7109375" style="12" customWidth="1"/>
    <col min="2" max="2" width="13.28515625" style="39" customWidth="1"/>
    <col min="3" max="3" width="14.140625" style="39" customWidth="1"/>
    <col min="4" max="4" width="10.7109375" style="12"/>
    <col min="5" max="6" width="10.7109375" style="18"/>
    <col min="7" max="7" width="4.140625" style="35" customWidth="1"/>
    <col min="8" max="9" width="10.7109375" style="18"/>
    <col min="10" max="10" width="10.7109375" style="12"/>
    <col min="11" max="18" width="10.7109375" style="12" customWidth="1"/>
    <col min="19" max="31" width="10.7109375" style="13" customWidth="1"/>
    <col min="32" max="34" width="10.7109375" style="13"/>
    <col min="35" max="35" width="5.140625" style="13" customWidth="1"/>
    <col min="36" max="36" width="8.5703125" style="13" customWidth="1"/>
    <col min="37" max="37" width="44.42578125" style="13" customWidth="1"/>
    <col min="38" max="39" width="8.5703125" style="13" customWidth="1"/>
    <col min="40" max="167" width="10.7109375" style="13"/>
    <col min="168" max="16384" width="10.7109375" style="12"/>
  </cols>
  <sheetData>
    <row r="1" spans="1:167" s="2" customFormat="1" ht="103.5" customHeight="1" x14ac:dyDescent="0.25">
      <c r="A1" s="81" t="s">
        <v>23</v>
      </c>
      <c r="B1" s="82"/>
      <c r="C1" s="82"/>
      <c r="D1" s="82"/>
      <c r="E1" s="82"/>
      <c r="F1" s="82"/>
      <c r="G1" s="82"/>
      <c r="H1" s="82"/>
      <c r="I1" s="8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</row>
    <row r="2" spans="1:167" s="7" customFormat="1" ht="198.75" customHeight="1" x14ac:dyDescent="0.2">
      <c r="A2" s="85"/>
      <c r="B2" s="85"/>
      <c r="C2" s="85"/>
      <c r="D2" s="85"/>
      <c r="E2" s="4"/>
      <c r="F2" s="4"/>
      <c r="G2" s="5"/>
      <c r="H2" s="6"/>
      <c r="I2" s="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ht="15" customHeight="1" x14ac:dyDescent="0.2">
      <c r="A3" s="84"/>
      <c r="B3" s="85"/>
      <c r="C3" s="85"/>
      <c r="D3" s="86"/>
      <c r="E3" s="9" t="s">
        <v>4</v>
      </c>
      <c r="F3" s="9" t="s">
        <v>5</v>
      </c>
      <c r="G3" s="10"/>
      <c r="H3" s="11" t="s">
        <v>6</v>
      </c>
      <c r="I3" s="11" t="s">
        <v>7</v>
      </c>
    </row>
    <row r="4" spans="1:167" ht="15" customHeight="1" x14ac:dyDescent="0.2">
      <c r="A4" s="54" t="s">
        <v>8</v>
      </c>
      <c r="B4" s="55"/>
      <c r="C4" s="55"/>
      <c r="D4" s="56"/>
      <c r="E4" s="95">
        <v>1000</v>
      </c>
      <c r="F4" s="64">
        <v>0</v>
      </c>
      <c r="G4" s="87" t="s">
        <v>19</v>
      </c>
      <c r="H4" s="68">
        <f>E4*COS(RADIANS(F4))</f>
        <v>1000</v>
      </c>
      <c r="I4" s="70">
        <f>E4*SIN(RADIANS(F4))</f>
        <v>0</v>
      </c>
      <c r="AK4" s="13" t="str">
        <f>CONCATENATE("Vload ",ROUND(E4,1)," V @ ",ROUND(F4,1)," deg")</f>
        <v>Vload 1000 V @ 0 deg</v>
      </c>
      <c r="AL4" s="14">
        <v>0</v>
      </c>
      <c r="AM4" s="14">
        <f>H4</f>
        <v>1000</v>
      </c>
      <c r="AN4" s="14"/>
      <c r="AP4" s="14"/>
    </row>
    <row r="5" spans="1:167" ht="15" customHeight="1" x14ac:dyDescent="0.2">
      <c r="A5" s="57"/>
      <c r="B5" s="58"/>
      <c r="C5" s="58"/>
      <c r="D5" s="59"/>
      <c r="E5" s="96"/>
      <c r="F5" s="65"/>
      <c r="G5" s="88"/>
      <c r="H5" s="69"/>
      <c r="I5" s="71"/>
      <c r="AL5" s="14">
        <v>0</v>
      </c>
      <c r="AM5" s="14">
        <f>I4</f>
        <v>0</v>
      </c>
      <c r="AN5" s="14"/>
      <c r="AP5" s="14"/>
    </row>
    <row r="6" spans="1:167" ht="15" customHeight="1" x14ac:dyDescent="0.2">
      <c r="A6" s="54" t="s">
        <v>3</v>
      </c>
      <c r="B6" s="55"/>
      <c r="C6" s="55"/>
      <c r="D6" s="56"/>
      <c r="E6" s="97">
        <v>500</v>
      </c>
      <c r="F6" s="66">
        <v>-30</v>
      </c>
      <c r="G6" s="87" t="s">
        <v>19</v>
      </c>
      <c r="H6" s="99">
        <f>E6*COS(RADIANS(F6))</f>
        <v>433.01270189221935</v>
      </c>
      <c r="I6" s="99">
        <f>E6*SIN(RADIANS(F6))</f>
        <v>-249.99999999999997</v>
      </c>
      <c r="AK6" s="13" t="str">
        <f>CONCATENATE("Iload ",ROUND(E6,1)," A @ ",ROUND(F6,1)," deg")</f>
        <v>Iload 500 A @ -30 deg</v>
      </c>
      <c r="AL6" s="14">
        <v>0</v>
      </c>
      <c r="AM6" s="14">
        <f>H6</f>
        <v>433.01270189221935</v>
      </c>
    </row>
    <row r="7" spans="1:167" ht="15" customHeight="1" x14ac:dyDescent="0.2">
      <c r="A7" s="57"/>
      <c r="B7" s="58"/>
      <c r="C7" s="58"/>
      <c r="D7" s="59"/>
      <c r="E7" s="98"/>
      <c r="F7" s="67"/>
      <c r="G7" s="88"/>
      <c r="H7" s="100"/>
      <c r="I7" s="100"/>
      <c r="AL7" s="14">
        <v>0</v>
      </c>
      <c r="AM7" s="14">
        <f>I6</f>
        <v>-249.99999999999997</v>
      </c>
      <c r="AN7" s="14"/>
    </row>
    <row r="8" spans="1:167" ht="15" customHeight="1" x14ac:dyDescent="0.2">
      <c r="A8" s="103" t="s">
        <v>27</v>
      </c>
      <c r="B8" s="104"/>
      <c r="C8" s="104"/>
      <c r="D8" s="105"/>
      <c r="E8" s="106"/>
      <c r="F8" s="36">
        <f>F6-F4</f>
        <v>-30</v>
      </c>
      <c r="G8" s="101"/>
      <c r="H8" s="102"/>
      <c r="I8" s="102"/>
      <c r="AL8" s="14"/>
      <c r="AM8" s="14"/>
      <c r="AN8" s="14"/>
    </row>
    <row r="9" spans="1:167" ht="15" customHeight="1" x14ac:dyDescent="0.2">
      <c r="A9" s="107" t="s">
        <v>25</v>
      </c>
      <c r="B9" s="78"/>
      <c r="C9" s="78"/>
      <c r="D9" s="79"/>
      <c r="E9" s="15">
        <f>COS(RADIANS(F8))</f>
        <v>0.86602540378443871</v>
      </c>
      <c r="F9" s="12"/>
      <c r="G9" s="17"/>
      <c r="AN9" s="14"/>
    </row>
    <row r="10" spans="1:167" ht="15" customHeight="1" x14ac:dyDescent="0.2">
      <c r="A10" s="109" t="s">
        <v>26</v>
      </c>
      <c r="B10" s="109"/>
      <c r="C10" s="109"/>
      <c r="D10" s="109"/>
      <c r="E10" s="16" t="str">
        <f>IF(F6-F4=0,"Unity",IF(F6-F4&gt;0,"Leading","Lagging"))</f>
        <v>Lagging</v>
      </c>
      <c r="F10" s="108"/>
      <c r="G10" s="17"/>
      <c r="AN10" s="14"/>
    </row>
    <row r="11" spans="1:167" ht="15" customHeight="1" x14ac:dyDescent="0.2">
      <c r="A11" s="109" t="s">
        <v>28</v>
      </c>
      <c r="B11" s="109"/>
      <c r="C11" s="109"/>
      <c r="D11" s="109"/>
      <c r="E11" s="15">
        <f>SIN(RADIANS(F8))</f>
        <v>-0.49999999999999994</v>
      </c>
      <c r="F11" s="108"/>
      <c r="G11" s="17"/>
      <c r="AN11" s="14"/>
    </row>
    <row r="12" spans="1:167" ht="15" customHeight="1" x14ac:dyDescent="0.2">
      <c r="A12" s="19"/>
      <c r="B12" s="19"/>
      <c r="C12" s="19"/>
      <c r="D12" s="19"/>
      <c r="E12" s="20"/>
      <c r="F12" s="21"/>
      <c r="G12" s="22"/>
      <c r="H12" s="23"/>
      <c r="I12" s="23"/>
    </row>
    <row r="13" spans="1:167" ht="15" customHeight="1" x14ac:dyDescent="0.2">
      <c r="A13" s="89" t="s">
        <v>16</v>
      </c>
      <c r="B13" s="90"/>
      <c r="C13" s="90"/>
      <c r="D13" s="90"/>
      <c r="E13" s="90"/>
      <c r="F13" s="90"/>
      <c r="G13" s="91"/>
      <c r="H13" s="24" t="s">
        <v>0</v>
      </c>
      <c r="I13" s="24" t="s">
        <v>1</v>
      </c>
    </row>
    <row r="14" spans="1:167" ht="15" customHeight="1" x14ac:dyDescent="0.2">
      <c r="A14" s="92"/>
      <c r="B14" s="93"/>
      <c r="C14" s="93"/>
      <c r="D14" s="93"/>
      <c r="E14" s="93"/>
      <c r="F14" s="93"/>
      <c r="G14" s="94"/>
      <c r="H14" s="1">
        <v>1E-3</v>
      </c>
      <c r="I14" s="1">
        <v>1.5E-3</v>
      </c>
    </row>
    <row r="15" spans="1:167" ht="15" customHeight="1" x14ac:dyDescent="0.2">
      <c r="A15" s="80" t="s">
        <v>17</v>
      </c>
      <c r="B15" s="80"/>
      <c r="C15" s="80"/>
      <c r="D15" s="80"/>
      <c r="E15" s="25">
        <v>1000</v>
      </c>
      <c r="F15" s="15"/>
      <c r="G15" s="48"/>
      <c r="H15" s="28" t="s">
        <v>20</v>
      </c>
      <c r="I15" s="28" t="s">
        <v>20</v>
      </c>
    </row>
    <row r="16" spans="1:167" ht="15" customHeight="1" x14ac:dyDescent="0.2">
      <c r="A16" s="60" t="s">
        <v>15</v>
      </c>
      <c r="B16" s="61"/>
      <c r="C16" s="61"/>
      <c r="D16" s="61"/>
      <c r="E16" s="26">
        <f>SQRT((H16*H16)+(I16*I16))</f>
        <v>1.8027756377319946</v>
      </c>
      <c r="F16" s="27">
        <f>IF(H16=0,90*I16/ABS(I16),DEGREES(ATAN(I16/H16)))</f>
        <v>56.309932474020215</v>
      </c>
      <c r="G16" s="28" t="s">
        <v>18</v>
      </c>
      <c r="H16" s="29">
        <f>E15*H14</f>
        <v>1</v>
      </c>
      <c r="I16" s="29">
        <f>E15*I14</f>
        <v>1.5</v>
      </c>
    </row>
    <row r="18" spans="1:42" ht="32.25" customHeight="1" x14ac:dyDescent="0.2">
      <c r="A18" s="62" t="s">
        <v>21</v>
      </c>
      <c r="B18" s="63"/>
      <c r="C18" s="63"/>
      <c r="D18" s="63"/>
      <c r="E18" s="63"/>
      <c r="F18" s="63"/>
      <c r="G18" s="63"/>
      <c r="H18" s="63"/>
      <c r="I18" s="63"/>
      <c r="AL18" s="14"/>
      <c r="AM18" s="14"/>
      <c r="AN18" s="14"/>
      <c r="AO18" s="14"/>
      <c r="AP18" s="14"/>
    </row>
    <row r="19" spans="1:42" ht="15" customHeight="1" x14ac:dyDescent="0.2">
      <c r="A19" s="73" t="s">
        <v>14</v>
      </c>
      <c r="B19" s="74"/>
      <c r="C19" s="74"/>
      <c r="D19" s="75"/>
      <c r="E19" s="30">
        <f>E6*E16</f>
        <v>901.38781886599725</v>
      </c>
      <c r="F19" s="31">
        <f>F6+F16</f>
        <v>26.309932474020215</v>
      </c>
      <c r="G19" s="32" t="s">
        <v>19</v>
      </c>
      <c r="H19" s="33">
        <f>E19*COS(RADIANS(F19))</f>
        <v>808.01270189221918</v>
      </c>
      <c r="I19" s="34">
        <f>E19*SIN(RADIANS(F19))</f>
        <v>399.519052838329</v>
      </c>
      <c r="AK19" s="13" t="str">
        <f>CONCATENATE("Vcable ",ROUND(E19,1)," V @ ",ROUND(F19,1)," deg")</f>
        <v>Vcable 901.4 V @ 26.3 deg</v>
      </c>
      <c r="AL19" s="14">
        <v>0</v>
      </c>
      <c r="AM19" s="14">
        <f>H19</f>
        <v>808.01270189221918</v>
      </c>
      <c r="AN19" s="14" t="s">
        <v>9</v>
      </c>
      <c r="AO19" s="14">
        <f>AM4</f>
        <v>1000</v>
      </c>
      <c r="AP19" s="14">
        <f>AO19+AM19</f>
        <v>1808.0127018922192</v>
      </c>
    </row>
    <row r="20" spans="1:42" ht="15" customHeight="1" x14ac:dyDescent="0.2">
      <c r="A20" s="19"/>
      <c r="B20" s="19"/>
      <c r="C20" s="19"/>
      <c r="D20" s="19"/>
      <c r="E20" s="2"/>
      <c r="F20" s="2"/>
      <c r="AL20" s="14">
        <v>0</v>
      </c>
      <c r="AM20" s="14">
        <f>I19</f>
        <v>399.519052838329</v>
      </c>
      <c r="AN20" s="14"/>
      <c r="AO20" s="14">
        <f>AM5</f>
        <v>0</v>
      </c>
      <c r="AP20" s="14">
        <f>AO20+AM20</f>
        <v>399.519052838329</v>
      </c>
    </row>
    <row r="21" spans="1:42" ht="30.75" customHeight="1" x14ac:dyDescent="0.2">
      <c r="A21" s="62" t="s">
        <v>22</v>
      </c>
      <c r="B21" s="76"/>
      <c r="C21" s="76"/>
      <c r="D21" s="76"/>
      <c r="E21" s="76"/>
      <c r="F21" s="76"/>
      <c r="G21" s="76"/>
      <c r="H21" s="76"/>
      <c r="I21" s="76"/>
      <c r="AL21" s="14"/>
      <c r="AM21" s="14"/>
      <c r="AN21" s="14"/>
      <c r="AO21" s="14"/>
      <c r="AP21" s="14"/>
    </row>
    <row r="22" spans="1:42" ht="15" customHeight="1" x14ac:dyDescent="0.2">
      <c r="A22" s="77" t="s">
        <v>2</v>
      </c>
      <c r="B22" s="78"/>
      <c r="C22" s="78"/>
      <c r="D22" s="79"/>
      <c r="E22" s="36">
        <f>SQRT((H22*H22)+(I22*I22))</f>
        <v>1851.6277713904699</v>
      </c>
      <c r="F22" s="36">
        <f>DEGREES(ATAN(I22/H22))</f>
        <v>12.460494006412183</v>
      </c>
      <c r="G22" s="32" t="s">
        <v>18</v>
      </c>
      <c r="H22" s="33">
        <f>H4+H19</f>
        <v>1808.0127018922192</v>
      </c>
      <c r="I22" s="34">
        <f>I4+I19</f>
        <v>399.519052838329</v>
      </c>
      <c r="AK22" s="13" t="str">
        <f>CONCATENATE("Vsource ",ROUND(E22,1)," V @ ",ROUND(F22,1)," deg")</f>
        <v>Vsource 1851.6 V @ 12.5 deg</v>
      </c>
      <c r="AL22" s="14">
        <v>0</v>
      </c>
      <c r="AM22" s="14">
        <f>H22</f>
        <v>1808.0127018922192</v>
      </c>
      <c r="AN22" s="14"/>
    </row>
    <row r="23" spans="1:42" ht="15" customHeight="1" x14ac:dyDescent="0.2">
      <c r="A23" s="19"/>
      <c r="B23" s="19"/>
      <c r="C23" s="19"/>
      <c r="D23" s="19"/>
      <c r="E23" s="2"/>
      <c r="F23" s="2"/>
      <c r="AL23" s="14">
        <v>0</v>
      </c>
      <c r="AM23" s="14">
        <f>I22</f>
        <v>399.519052838329</v>
      </c>
      <c r="AN23" s="14"/>
    </row>
    <row r="24" spans="1:42" ht="15" customHeight="1" x14ac:dyDescent="0.2">
      <c r="A24" s="42"/>
      <c r="B24" s="43"/>
      <c r="C24" s="43"/>
      <c r="D24" s="43"/>
      <c r="E24" s="44"/>
      <c r="F24" s="45"/>
      <c r="G24" s="46"/>
      <c r="H24" s="47"/>
      <c r="I24" s="47"/>
      <c r="J24" s="7"/>
      <c r="K24" s="7"/>
    </row>
    <row r="25" spans="1:42" ht="15" customHeight="1" x14ac:dyDescent="0.2">
      <c r="A25" s="72" t="s">
        <v>24</v>
      </c>
      <c r="B25" s="53"/>
      <c r="C25" s="53"/>
      <c r="D25" s="53"/>
      <c r="E25" s="36">
        <f>E22-E4</f>
        <v>851.62777139046989</v>
      </c>
      <c r="AI25" s="14"/>
      <c r="AJ25" s="14"/>
      <c r="AK25" s="14"/>
    </row>
    <row r="26" spans="1:42" ht="15" customHeight="1" x14ac:dyDescent="0.2">
      <c r="A26" s="53" t="s">
        <v>12</v>
      </c>
      <c r="B26" s="53"/>
      <c r="C26" s="53"/>
      <c r="D26" s="53"/>
      <c r="E26" s="37">
        <f>E19</f>
        <v>901.38781886599725</v>
      </c>
      <c r="AI26" s="14"/>
      <c r="AJ26" s="14"/>
      <c r="AK26" s="14"/>
    </row>
    <row r="27" spans="1:42" ht="15" customHeight="1" x14ac:dyDescent="0.2">
      <c r="A27" s="53" t="s">
        <v>13</v>
      </c>
      <c r="B27" s="53"/>
      <c r="C27" s="53"/>
      <c r="D27" s="53"/>
      <c r="E27" s="37">
        <f>(E6*H16*COS(RADIANS(ABS(F6))))+(E6*I16*SIN(RADIANS(ABS(F6))))</f>
        <v>808.0127018922193</v>
      </c>
      <c r="F27" s="50" t="str">
        <f>CONCATENATE("i.e. ",AM27," times actual Vdiff")</f>
        <v>i.e. 0.95 times actual Vdiff</v>
      </c>
      <c r="G27" s="51"/>
      <c r="H27" s="51"/>
      <c r="I27" s="52"/>
      <c r="AI27" s="14"/>
      <c r="AJ27" s="14"/>
      <c r="AK27" s="14"/>
      <c r="AM27" s="38">
        <f>ROUND(E27/E25,2)</f>
        <v>0.95</v>
      </c>
    </row>
    <row r="28" spans="1:4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AI28" s="14"/>
      <c r="AJ28" s="14"/>
      <c r="AK28" s="14"/>
      <c r="AM28" s="38"/>
    </row>
    <row r="29" spans="1:42" ht="15" customHeight="1" x14ac:dyDescent="0.2">
      <c r="AI29" s="14"/>
      <c r="AJ29" s="14"/>
      <c r="AK29" s="14"/>
    </row>
    <row r="30" spans="1:42" ht="15" customHeight="1" x14ac:dyDescent="0.2">
      <c r="AI30" s="14"/>
      <c r="AJ30" s="14"/>
      <c r="AK30" s="14"/>
    </row>
    <row r="31" spans="1:42" ht="15" customHeight="1" x14ac:dyDescent="0.2">
      <c r="AI31" s="14"/>
      <c r="AJ31" s="14"/>
      <c r="AK31" s="14"/>
    </row>
    <row r="32" spans="1:42" ht="15" customHeight="1" x14ac:dyDescent="0.2">
      <c r="AI32" s="14"/>
      <c r="AJ32" s="14"/>
      <c r="AK32" s="14"/>
    </row>
    <row r="33" spans="35:37" ht="15" customHeight="1" x14ac:dyDescent="0.2">
      <c r="AI33" s="14"/>
      <c r="AJ33" s="14"/>
      <c r="AK33" s="14"/>
    </row>
    <row r="34" spans="35:37" ht="15" customHeight="1" x14ac:dyDescent="0.2">
      <c r="AI34" s="14"/>
      <c r="AJ34" s="14"/>
      <c r="AK34" s="14"/>
    </row>
    <row r="35" spans="35:37" ht="15" customHeight="1" x14ac:dyDescent="0.2">
      <c r="AI35" s="14"/>
      <c r="AJ35" s="14"/>
      <c r="AK35" s="14"/>
    </row>
    <row r="36" spans="35:37" ht="15" customHeight="1" x14ac:dyDescent="0.2">
      <c r="AI36" s="14"/>
      <c r="AJ36" s="14"/>
      <c r="AK36" s="14"/>
    </row>
    <row r="37" spans="35:37" ht="15" customHeight="1" x14ac:dyDescent="0.2">
      <c r="AI37" s="14"/>
      <c r="AJ37" s="14"/>
      <c r="AK37" s="14"/>
    </row>
    <row r="38" spans="35:37" ht="15" customHeight="1" x14ac:dyDescent="0.2">
      <c r="AI38" s="14"/>
      <c r="AJ38" s="14"/>
      <c r="AK38" s="14"/>
    </row>
    <row r="39" spans="35:37" ht="15" customHeight="1" x14ac:dyDescent="0.2">
      <c r="AI39" s="14"/>
      <c r="AJ39" s="14"/>
      <c r="AK39" s="14"/>
    </row>
    <row r="40" spans="35:37" ht="15" customHeight="1" x14ac:dyDescent="0.2">
      <c r="AI40" s="14"/>
      <c r="AJ40" s="14"/>
      <c r="AK40" s="14"/>
    </row>
    <row r="41" spans="35:37" ht="15" customHeight="1" x14ac:dyDescent="0.2">
      <c r="AI41" s="14"/>
      <c r="AJ41" s="14"/>
      <c r="AK41" s="14"/>
    </row>
    <row r="42" spans="35:37" ht="15" customHeight="1" x14ac:dyDescent="0.2">
      <c r="AI42" s="14"/>
      <c r="AJ42" s="14"/>
      <c r="AK42" s="14"/>
    </row>
    <row r="43" spans="35:37" ht="15" customHeight="1" x14ac:dyDescent="0.2">
      <c r="AI43" s="14"/>
      <c r="AJ43" s="14"/>
      <c r="AK43" s="14"/>
    </row>
    <row r="44" spans="35:37" ht="15" customHeight="1" x14ac:dyDescent="0.2">
      <c r="AI44" s="14"/>
      <c r="AJ44" s="14"/>
      <c r="AK44" s="14"/>
    </row>
    <row r="45" spans="35:37" ht="15" customHeight="1" x14ac:dyDescent="0.2">
      <c r="AI45" s="14"/>
      <c r="AJ45" s="14"/>
      <c r="AK45" s="14"/>
    </row>
    <row r="46" spans="35:37" ht="15" customHeight="1" x14ac:dyDescent="0.2">
      <c r="AI46" s="14"/>
      <c r="AJ46" s="14"/>
      <c r="AK46" s="14"/>
    </row>
    <row r="47" spans="35:37" ht="15" customHeight="1" x14ac:dyDescent="0.2">
      <c r="AI47" s="14"/>
      <c r="AJ47" s="14"/>
      <c r="AK47" s="14"/>
    </row>
    <row r="48" spans="35:37" ht="15" customHeight="1" x14ac:dyDescent="0.2">
      <c r="AI48" s="14"/>
      <c r="AJ48" s="14"/>
      <c r="AK48" s="14"/>
    </row>
    <row r="49" spans="35:37" ht="15" customHeight="1" x14ac:dyDescent="0.2">
      <c r="AI49" s="14"/>
      <c r="AJ49" s="14"/>
      <c r="AK49" s="14"/>
    </row>
    <row r="50" spans="35:37" ht="15" customHeight="1" x14ac:dyDescent="0.2">
      <c r="AI50" s="14"/>
      <c r="AJ50" s="14"/>
      <c r="AK50" s="14"/>
    </row>
    <row r="51" spans="35:37" ht="15" customHeight="1" x14ac:dyDescent="0.2">
      <c r="AI51" s="14"/>
      <c r="AJ51" s="14"/>
      <c r="AK51" s="14"/>
    </row>
    <row r="52" spans="35:37" ht="15" customHeight="1" x14ac:dyDescent="0.2">
      <c r="AI52" s="14"/>
      <c r="AJ52" s="14"/>
      <c r="AK52" s="14"/>
    </row>
    <row r="53" spans="35:37" ht="15" customHeight="1" x14ac:dyDescent="0.2">
      <c r="AI53" s="14"/>
      <c r="AJ53" s="14"/>
      <c r="AK53" s="14"/>
    </row>
    <row r="54" spans="35:37" ht="15" customHeight="1" x14ac:dyDescent="0.2">
      <c r="AI54" s="14"/>
      <c r="AJ54" s="14"/>
      <c r="AK54" s="14"/>
    </row>
    <row r="55" spans="35:37" ht="15" customHeight="1" x14ac:dyDescent="0.2">
      <c r="AI55" s="14"/>
      <c r="AJ55" s="14"/>
      <c r="AK55" s="14"/>
    </row>
    <row r="56" spans="35:37" ht="15" customHeight="1" x14ac:dyDescent="0.2">
      <c r="AI56" s="14"/>
      <c r="AJ56" s="14"/>
      <c r="AK56" s="14"/>
    </row>
    <row r="57" spans="35:37" ht="15" customHeight="1" x14ac:dyDescent="0.2">
      <c r="AI57" s="14"/>
      <c r="AJ57" s="14"/>
      <c r="AK57" s="14"/>
    </row>
    <row r="58" spans="35:37" ht="15" customHeight="1" x14ac:dyDescent="0.2">
      <c r="AI58" s="14"/>
      <c r="AJ58" s="14"/>
      <c r="AK58" s="14"/>
    </row>
    <row r="59" spans="35:37" ht="15" customHeight="1" x14ac:dyDescent="0.2">
      <c r="AI59" s="14"/>
      <c r="AJ59" s="14"/>
      <c r="AK59" s="14"/>
    </row>
    <row r="60" spans="35:37" ht="15" customHeight="1" x14ac:dyDescent="0.2">
      <c r="AI60" s="14"/>
      <c r="AJ60" s="14"/>
      <c r="AK60" s="14"/>
    </row>
    <row r="61" spans="35:37" ht="15" customHeight="1" x14ac:dyDescent="0.2">
      <c r="AI61" s="14"/>
      <c r="AJ61" s="14"/>
      <c r="AK61" s="14"/>
    </row>
    <row r="62" spans="35:37" ht="15" customHeight="1" x14ac:dyDescent="0.2">
      <c r="AI62" s="14"/>
      <c r="AJ62" s="14"/>
      <c r="AK62" s="14"/>
    </row>
    <row r="63" spans="35:37" ht="15" customHeight="1" x14ac:dyDescent="0.2">
      <c r="AI63" s="14"/>
      <c r="AJ63" s="14"/>
      <c r="AK63" s="14"/>
    </row>
    <row r="64" spans="35:37" ht="15" customHeight="1" x14ac:dyDescent="0.2">
      <c r="AI64" s="14"/>
      <c r="AJ64" s="14"/>
      <c r="AK64" s="14"/>
    </row>
    <row r="65" spans="2:39" ht="15" customHeight="1" x14ac:dyDescent="0.2">
      <c r="AI65" s="14"/>
      <c r="AJ65" s="14"/>
      <c r="AK65" s="14"/>
    </row>
    <row r="70" spans="2:39" ht="15" customHeight="1" x14ac:dyDescent="0.2">
      <c r="B70" s="39">
        <f>E6*H16</f>
        <v>500</v>
      </c>
      <c r="C70" s="40">
        <f>F6</f>
        <v>-30</v>
      </c>
      <c r="D70" s="41">
        <f>B70*COS(RADIANS(C70))</f>
        <v>433.01270189221935</v>
      </c>
      <c r="E70" s="23">
        <f>B70*SIN(RADIANS(C70))</f>
        <v>-249.99999999999997</v>
      </c>
      <c r="AI70" s="14">
        <v>0</v>
      </c>
      <c r="AJ70" s="14">
        <f>D70</f>
        <v>433.01270189221935</v>
      </c>
      <c r="AK70" s="13" t="s">
        <v>10</v>
      </c>
      <c r="AL70" s="14">
        <f>AM4</f>
        <v>1000</v>
      </c>
      <c r="AM70" s="14">
        <f>AL70+AJ70</f>
        <v>1433.0127018922194</v>
      </c>
    </row>
    <row r="71" spans="2:39" ht="15" customHeight="1" x14ac:dyDescent="0.2">
      <c r="AI71" s="14">
        <v>0</v>
      </c>
      <c r="AJ71" s="14">
        <f>E70</f>
        <v>-249.99999999999997</v>
      </c>
      <c r="AK71" s="14"/>
      <c r="AL71" s="14">
        <f>AM5</f>
        <v>0</v>
      </c>
      <c r="AM71" s="14">
        <f>AL71+AJ71</f>
        <v>-249.99999999999997</v>
      </c>
    </row>
    <row r="74" spans="2:39" ht="15" customHeight="1" x14ac:dyDescent="0.2">
      <c r="B74" s="39">
        <f>E6*I16</f>
        <v>750</v>
      </c>
      <c r="C74" s="40">
        <f>F6+90</f>
        <v>60</v>
      </c>
      <c r="D74" s="41">
        <f>B74*COS(RADIANS(C74))</f>
        <v>375.00000000000006</v>
      </c>
      <c r="E74" s="23">
        <f>B74*SIN(RADIANS(C74))</f>
        <v>649.519052838329</v>
      </c>
      <c r="AI74" s="14">
        <v>0</v>
      </c>
      <c r="AJ74" s="14">
        <f>D74</f>
        <v>375.00000000000006</v>
      </c>
      <c r="AK74" s="13" t="s">
        <v>11</v>
      </c>
      <c r="AL74" s="14">
        <f>AM70</f>
        <v>1433.0127018922194</v>
      </c>
      <c r="AM74" s="14">
        <f>AL74+AJ74</f>
        <v>1808.0127018922194</v>
      </c>
    </row>
    <row r="75" spans="2:39" ht="15" customHeight="1" x14ac:dyDescent="0.2">
      <c r="AI75" s="14">
        <v>0</v>
      </c>
      <c r="AJ75" s="14">
        <f>E74</f>
        <v>649.519052838329</v>
      </c>
      <c r="AK75" s="14"/>
      <c r="AL75" s="14">
        <f>AM71</f>
        <v>-249.99999999999997</v>
      </c>
      <c r="AM75" s="14">
        <f>AL75+AJ75</f>
        <v>399.519052838329</v>
      </c>
    </row>
  </sheetData>
  <sheetProtection password="C541" sheet="1" objects="1" scenarios="1" formatColumns="0" formatRows="0"/>
  <mergeCells count="30">
    <mergeCell ref="A15:D15"/>
    <mergeCell ref="A1:I1"/>
    <mergeCell ref="A3:D3"/>
    <mergeCell ref="G4:G5"/>
    <mergeCell ref="G6:G7"/>
    <mergeCell ref="A2:D2"/>
    <mergeCell ref="A13:G14"/>
    <mergeCell ref="E4:E5"/>
    <mergeCell ref="E6:E7"/>
    <mergeCell ref="H6:H7"/>
    <mergeCell ref="I6:I7"/>
    <mergeCell ref="A8:D8"/>
    <mergeCell ref="A10:D10"/>
    <mergeCell ref="A11:D11"/>
    <mergeCell ref="F27:I27"/>
    <mergeCell ref="A27:D27"/>
    <mergeCell ref="A4:D5"/>
    <mergeCell ref="A6:D7"/>
    <mergeCell ref="A9:D9"/>
    <mergeCell ref="A16:D16"/>
    <mergeCell ref="A18:I18"/>
    <mergeCell ref="F4:F5"/>
    <mergeCell ref="F6:F7"/>
    <mergeCell ref="H4:H5"/>
    <mergeCell ref="I4:I5"/>
    <mergeCell ref="A25:D25"/>
    <mergeCell ref="A26:D26"/>
    <mergeCell ref="A19:D19"/>
    <mergeCell ref="A21:I21"/>
    <mergeCell ref="A22:D22"/>
  </mergeCells>
  <pageMargins left="0.70866141732283472" right="0.70866141732283472" top="0.94488188976377963" bottom="0.74803149606299213" header="0.31496062992125984" footer="0.31496062992125984"/>
  <pageSetup paperSize="9" scale="70" fitToHeight="0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IEEE 141 Fig 3-11</vt:lpstr>
      <vt:lpstr>'IEEE 141 Fig 3-11'!Print_Area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2017-11-10T16:14:29Z</cp:lastPrinted>
  <dcterms:created xsi:type="dcterms:W3CDTF">2011-03-25T08:31:33Z</dcterms:created>
  <dcterms:modified xsi:type="dcterms:W3CDTF">2017-11-11T08:23:04Z</dcterms:modified>
</cp:coreProperties>
</file>