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541" lockStructure="1"/>
  <bookViews>
    <workbookView xWindow="120" yWindow="75" windowWidth="22995" windowHeight="11565"/>
  </bookViews>
  <sheets>
    <sheet name="IEEE 141 Fig 3-11" sheetId="4" r:id="rId1"/>
  </sheets>
  <definedNames>
    <definedName name="Iload_a">#REF!</definedName>
    <definedName name="Iload_m">#REF!</definedName>
    <definedName name="_xlnm.Print_Area" localSheetId="0">'IEEE 141 Fig 3-11'!$A$1:$I$24</definedName>
    <definedName name="Rcable">#REF!</definedName>
    <definedName name="Rload">#REF!</definedName>
    <definedName name="Rtotal">#REF!</definedName>
    <definedName name="Vcable_a">#REF!</definedName>
    <definedName name="Vcable_m">#REF!</definedName>
    <definedName name="Vload_a">#REF!</definedName>
    <definedName name="Vload_m">#REF!</definedName>
    <definedName name="Vsource_a">#REF!</definedName>
    <definedName name="Vsoure_m">#REF!</definedName>
    <definedName name="Xcable">#REF!</definedName>
    <definedName name="Xload">#REF!</definedName>
    <definedName name="Xtotal">#REF!</definedName>
    <definedName name="Zcable_a">#REF!</definedName>
    <definedName name="Zcable_m">#REF!</definedName>
    <definedName name="Zload_a">#REF!</definedName>
    <definedName name="Zload_m">#REF!</definedName>
    <definedName name="Ztotal_a">#REF!</definedName>
    <definedName name="Ztotal_m">#REF!</definedName>
  </definedNames>
  <calcPr calcId="145621"/>
</workbook>
</file>

<file path=xl/calcChain.xml><?xml version="1.0" encoding="utf-8"?>
<calcChain xmlns="http://schemas.openxmlformats.org/spreadsheetml/2006/main">
  <c r="I13" i="4" l="1"/>
  <c r="H13" i="4"/>
  <c r="E24" i="4" s="1"/>
  <c r="AK6" i="4"/>
  <c r="AK4" i="4"/>
  <c r="F13" i="4" l="1"/>
  <c r="C71" i="4"/>
  <c r="B71" i="4"/>
  <c r="C67" i="4"/>
  <c r="B67" i="4"/>
  <c r="I6" i="4"/>
  <c r="AM7" i="4" s="1"/>
  <c r="H6" i="4"/>
  <c r="AM6" i="4" s="1"/>
  <c r="F8" i="4"/>
  <c r="E8" i="4"/>
  <c r="I4" i="4" l="1"/>
  <c r="AM5" i="4" s="1"/>
  <c r="H4" i="4"/>
  <c r="AM4" i="4" s="1"/>
  <c r="F16" i="4"/>
  <c r="E13" i="4"/>
  <c r="E16" i="4" s="1"/>
  <c r="E23" i="4" s="1"/>
  <c r="AK16" i="4" l="1"/>
  <c r="AL67" i="4"/>
  <c r="AO16" i="4"/>
  <c r="AL68" i="4"/>
  <c r="AO17" i="4"/>
  <c r="D71" i="4"/>
  <c r="AJ71" i="4" s="1"/>
  <c r="I16" i="4"/>
  <c r="E71" i="4" l="1"/>
  <c r="AJ72" i="4" s="1"/>
  <c r="E67" i="4"/>
  <c r="AJ68" i="4" s="1"/>
  <c r="AM68" i="4" s="1"/>
  <c r="AL72" i="4" s="1"/>
  <c r="D67" i="4"/>
  <c r="AJ67" i="4" s="1"/>
  <c r="AM67" i="4" s="1"/>
  <c r="AL71" i="4" s="1"/>
  <c r="AM71" i="4" s="1"/>
  <c r="I19" i="4"/>
  <c r="AM20" i="4" s="1"/>
  <c r="AM17" i="4"/>
  <c r="AP17" i="4" s="1"/>
  <c r="H16" i="4"/>
  <c r="AM72" i="4" l="1"/>
  <c r="H19" i="4"/>
  <c r="F19" i="4" s="1"/>
  <c r="AM16" i="4"/>
  <c r="AP16" i="4" s="1"/>
  <c r="E19" i="4" l="1"/>
  <c r="AM19" i="4"/>
  <c r="E22" i="4" l="1"/>
  <c r="AM24" i="4" s="1"/>
  <c r="F24" i="4" s="1"/>
  <c r="AK19" i="4"/>
</calcChain>
</file>

<file path=xl/sharedStrings.xml><?xml version="1.0" encoding="utf-8"?>
<sst xmlns="http://schemas.openxmlformats.org/spreadsheetml/2006/main" count="30" uniqueCount="26">
  <si>
    <t>Rcable</t>
  </si>
  <si>
    <t>Xcable</t>
  </si>
  <si>
    <t>Vsource</t>
  </si>
  <si>
    <t>Iload</t>
  </si>
  <si>
    <t>Magnitude</t>
  </si>
  <si>
    <t>Angle</t>
  </si>
  <si>
    <t>Resistive</t>
  </si>
  <si>
    <t>Reactive</t>
  </si>
  <si>
    <t>Load Power Factor</t>
  </si>
  <si>
    <t>Vload_ph-n</t>
  </si>
  <si>
    <t>Iload x Zcable</t>
  </si>
  <si>
    <t>Iload x Rcable</t>
  </si>
  <si>
    <t>Iload x Xcable</t>
  </si>
  <si>
    <t>The voltage magnitude end-to-end across the cable is</t>
  </si>
  <si>
    <t>IEEE Formula</t>
  </si>
  <si>
    <t>Vcable</t>
  </si>
  <si>
    <t>Total Zcable</t>
  </si>
  <si>
    <t>We know the line impedance from the cable data 
Rcable + jXcable per metre:</t>
  </si>
  <si>
    <t>Length of Cable (metres)</t>
  </si>
  <si>
    <t>ç</t>
  </si>
  <si>
    <t>è</t>
  </si>
  <si>
    <t>ê</t>
  </si>
  <si>
    <r>
      <t xml:space="preserve">The voltage appearing end-to-end of the cable will be Vcable =I x Z
(i.e. </t>
    </r>
    <r>
      <rPr>
        <sz val="11"/>
        <color rgb="FFFF0000"/>
        <rFont val="Tahoma"/>
        <family val="2"/>
      </rPr>
      <t>multiply vector magnitude</t>
    </r>
    <r>
      <rPr>
        <sz val="11"/>
        <color theme="1"/>
        <rFont val="Tahoma"/>
        <family val="2"/>
      </rPr>
      <t xml:space="preserve">, </t>
    </r>
    <r>
      <rPr>
        <sz val="11"/>
        <color rgb="FF0070C0"/>
        <rFont val="Tahoma"/>
        <family val="2"/>
      </rPr>
      <t>add vector angles</t>
    </r>
    <r>
      <rPr>
        <sz val="11"/>
        <color theme="1"/>
        <rFont val="Tahoma"/>
        <family val="2"/>
      </rPr>
      <t>)</t>
    </r>
  </si>
  <si>
    <r>
      <t xml:space="preserve">Vsource is the sum of Vload_ph-n plus the Vcable 
(i.e. add the respective </t>
    </r>
    <r>
      <rPr>
        <sz val="11"/>
        <color rgb="FF7030A0"/>
        <rFont val="Tahoma"/>
        <family val="2"/>
      </rPr>
      <t>resistive</t>
    </r>
    <r>
      <rPr>
        <sz val="11"/>
        <color theme="1"/>
        <rFont val="Tahoma"/>
        <family val="2"/>
      </rPr>
      <t xml:space="preserve"> and </t>
    </r>
    <r>
      <rPr>
        <sz val="11"/>
        <color theme="9" tint="-0.249977111117893"/>
        <rFont val="Tahoma"/>
        <family val="2"/>
      </rPr>
      <t>reactive</t>
    </r>
    <r>
      <rPr>
        <sz val="11"/>
        <color theme="1"/>
        <rFont val="Tahoma"/>
        <family val="2"/>
      </rPr>
      <t xml:space="preserve"> components)</t>
    </r>
  </si>
  <si>
    <t>This spreadsheet calculates the value of the source voltage for a given load voltage, load current and cable impedance.
This is presented according to the arrangement shown in IEEE 141 Fig 3-11. 
This also allows an assessment of the accuracy of the IEEE 141 simplified estimate formula.
Instructions: fill in the yellow highlighted cells with your plant data</t>
  </si>
  <si>
    <t>The difference in magnitude of Vsource compared to Vload_ph-n 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</si>
</sst>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Tahoma"/>
      <family val="2"/>
    </font>
    <font>
      <sz val="11"/>
      <color theme="0"/>
      <name val="Tahoma"/>
      <family val="2"/>
    </font>
    <font>
      <b/>
      <sz val="11"/>
      <color rgb="FFFF0000"/>
      <name val="Tahoma"/>
      <family val="2"/>
    </font>
    <font>
      <b/>
      <sz val="11"/>
      <color rgb="FF0070C0"/>
      <name val="Tahoma"/>
      <family val="2"/>
    </font>
    <font>
      <sz val="11"/>
      <color rgb="FF0070C0"/>
      <name val="Tahoma"/>
      <family val="2"/>
    </font>
    <font>
      <sz val="11"/>
      <color theme="9" tint="-0.249977111117893"/>
      <name val="Tahoma"/>
      <family val="2"/>
    </font>
    <font>
      <sz val="11"/>
      <color rgb="FFFFFF00"/>
      <name val="Tahoma"/>
      <family val="2"/>
    </font>
    <font>
      <sz val="11"/>
      <color rgb="FF7030A0"/>
      <name val="Tahoma"/>
      <family val="2"/>
    </font>
    <font>
      <b/>
      <sz val="11"/>
      <color theme="1"/>
      <name val="Wingdings"/>
      <charset val="2"/>
    </font>
    <font>
      <sz val="11"/>
      <color theme="1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04">
    <xf numFmtId="0" fontId="0" fillId="0" borderId="0" xfId="0"/>
    <xf numFmtId="164" fontId="6" fillId="2" borderId="1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3" fillId="0" borderId="9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9" fillId="0" borderId="0" xfId="0" applyFont="1" applyFill="1" applyBorder="1" applyProtection="1"/>
    <xf numFmtId="0" fontId="3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/>
    </xf>
    <xf numFmtId="0" fontId="4" fillId="0" borderId="0" xfId="0" applyFont="1" applyFill="1" applyProtection="1"/>
    <xf numFmtId="0" fontId="9" fillId="0" borderId="0" xfId="0" applyFont="1" applyFill="1" applyProtection="1"/>
    <xf numFmtId="2" fontId="9" fillId="0" borderId="0" xfId="0" applyNumberFormat="1" applyFont="1" applyFill="1" applyProtection="1"/>
    <xf numFmtId="164" fontId="4" fillId="0" borderId="1" xfId="0" applyNumberFormat="1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/>
    <xf numFmtId="0" fontId="4" fillId="0" borderId="0" xfId="0" applyFont="1" applyFill="1" applyAlignment="1" applyProtection="1">
      <alignment horizontal="left"/>
    </xf>
    <xf numFmtId="2" fontId="4" fillId="0" borderId="0" xfId="0" applyNumberFormat="1" applyFont="1" applyFill="1" applyAlignment="1" applyProtection="1">
      <alignment vertical="center"/>
    </xf>
    <xf numFmtId="164" fontId="4" fillId="0" borderId="0" xfId="0" applyNumberFormat="1" applyFont="1" applyFill="1" applyAlignment="1" applyProtection="1">
      <alignment vertical="center"/>
    </xf>
    <xf numFmtId="164" fontId="2" fillId="0" borderId="0" xfId="0" applyNumberFormat="1" applyFont="1" applyFill="1" applyAlignment="1" applyProtection="1">
      <alignment horizontal="center" vertical="center"/>
    </xf>
    <xf numFmtId="2" fontId="4" fillId="0" borderId="0" xfId="0" applyNumberFormat="1" applyFont="1" applyFill="1" applyAlignment="1" applyProtection="1"/>
    <xf numFmtId="2" fontId="6" fillId="0" borderId="1" xfId="0" applyNumberFormat="1" applyFont="1" applyFill="1" applyBorder="1" applyAlignment="1" applyProtection="1">
      <alignment horizontal="center" vertical="top"/>
    </xf>
    <xf numFmtId="0" fontId="5" fillId="0" borderId="1" xfId="0" applyFont="1" applyFill="1" applyBorder="1" applyAlignment="1" applyProtection="1">
      <alignment horizontal="right" vertical="top" wrapText="1"/>
    </xf>
    <xf numFmtId="2" fontId="8" fillId="0" borderId="1" xfId="0" applyNumberFormat="1" applyFont="1" applyFill="1" applyBorder="1" applyAlignment="1" applyProtection="1">
      <alignment vertical="center"/>
    </xf>
    <xf numFmtId="2" fontId="12" fillId="0" borderId="1" xfId="0" applyNumberFormat="1" applyFont="1" applyFill="1" applyBorder="1" applyAlignment="1" applyProtection="1">
      <alignment vertical="center"/>
    </xf>
    <xf numFmtId="2" fontId="17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vertical="top"/>
    </xf>
    <xf numFmtId="165" fontId="8" fillId="0" borderId="1" xfId="0" applyNumberFormat="1" applyFont="1" applyFill="1" applyBorder="1" applyAlignment="1" applyProtection="1">
      <alignment vertical="center"/>
    </xf>
    <xf numFmtId="165" fontId="12" fillId="0" borderId="1" xfId="0" applyNumberFormat="1" applyFont="1" applyFill="1" applyBorder="1" applyAlignment="1" applyProtection="1">
      <alignment vertical="center"/>
    </xf>
    <xf numFmtId="165" fontId="17" fillId="0" borderId="1" xfId="0" applyNumberFormat="1" applyFont="1" applyFill="1" applyBorder="1" applyAlignment="1" applyProtection="1">
      <alignment horizontal="center" vertical="center"/>
    </xf>
    <xf numFmtId="165" fontId="15" fillId="0" borderId="1" xfId="0" applyNumberFormat="1" applyFont="1" applyFill="1" applyBorder="1" applyAlignment="1" applyProtection="1"/>
    <xf numFmtId="165" fontId="13" fillId="0" borderId="1" xfId="0" applyNumberFormat="1" applyFont="1" applyFill="1" applyBorder="1" applyAlignment="1" applyProtection="1"/>
    <xf numFmtId="0" fontId="2" fillId="0" borderId="0" xfId="0" applyFont="1" applyFill="1" applyAlignment="1" applyProtection="1">
      <alignment horizontal="center" vertical="center"/>
    </xf>
    <xf numFmtId="165" fontId="4" fillId="0" borderId="1" xfId="0" applyNumberFormat="1" applyFont="1" applyFill="1" applyBorder="1" applyAlignment="1" applyProtection="1">
      <alignment vertical="center"/>
    </xf>
    <xf numFmtId="165" fontId="4" fillId="0" borderId="1" xfId="0" applyNumberFormat="1" applyFont="1" applyFill="1" applyBorder="1" applyAlignment="1" applyProtection="1"/>
    <xf numFmtId="9" fontId="9" fillId="0" borderId="0" xfId="1" applyFont="1" applyFill="1" applyAlignment="1" applyProtection="1"/>
    <xf numFmtId="0" fontId="4" fillId="0" borderId="0" xfId="0" applyFont="1" applyFill="1" applyAlignment="1" applyProtection="1">
      <alignment horizontal="center" vertical="center"/>
    </xf>
    <xf numFmtId="164" fontId="4" fillId="0" borderId="0" xfId="0" applyNumberFormat="1" applyFont="1" applyFill="1" applyAlignment="1" applyProtection="1">
      <alignment horizontal="center" vertical="center"/>
    </xf>
    <xf numFmtId="2" fontId="4" fillId="0" borderId="0" xfId="0" applyNumberFormat="1" applyFont="1" applyFill="1" applyProtection="1"/>
    <xf numFmtId="0" fontId="2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2" fontId="8" fillId="0" borderId="0" xfId="0" applyNumberFormat="1" applyFont="1" applyFill="1" applyBorder="1" applyAlignment="1" applyProtection="1">
      <alignment vertical="center"/>
    </xf>
    <xf numFmtId="2" fontId="12" fillId="0" borderId="0" xfId="0" applyNumberFormat="1" applyFont="1" applyFill="1" applyBorder="1" applyAlignment="1" applyProtection="1">
      <alignment vertical="center"/>
    </xf>
    <xf numFmtId="2" fontId="17" fillId="0" borderId="0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vertical="top"/>
    </xf>
    <xf numFmtId="164" fontId="2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vertical="top" wrapText="1"/>
    </xf>
    <xf numFmtId="0" fontId="2" fillId="3" borderId="8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/>
    </xf>
    <xf numFmtId="0" fontId="2" fillId="3" borderId="10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0" fontId="1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 applyProtection="1">
      <alignment horizontal="right" vertical="center" wrapText="1"/>
    </xf>
    <xf numFmtId="0" fontId="2" fillId="0" borderId="3" xfId="0" applyFont="1" applyFill="1" applyBorder="1" applyAlignment="1" applyProtection="1">
      <alignment horizontal="right" vertical="center" wrapText="1"/>
    </xf>
    <xf numFmtId="0" fontId="2" fillId="0" borderId="5" xfId="0" applyFont="1" applyFill="1" applyBorder="1" applyAlignment="1" applyProtection="1">
      <alignment horizontal="right" vertical="center" wrapText="1"/>
    </xf>
    <xf numFmtId="0" fontId="2" fillId="0" borderId="7" xfId="0" applyFont="1" applyFill="1" applyBorder="1" applyAlignment="1" applyProtection="1">
      <alignment horizontal="right" vertical="center" wrapText="1"/>
    </xf>
    <xf numFmtId="0" fontId="2" fillId="0" borderId="6" xfId="0" applyFont="1" applyFill="1" applyBorder="1" applyAlignment="1" applyProtection="1">
      <alignment horizontal="right" vertical="center" wrapText="1"/>
    </xf>
    <xf numFmtId="165" fontId="6" fillId="2" borderId="11" xfId="0" applyNumberFormat="1" applyFont="1" applyFill="1" applyBorder="1" applyAlignment="1" applyProtection="1">
      <alignment horizontal="right" vertical="center"/>
      <protection locked="0"/>
    </xf>
    <xf numFmtId="165" fontId="6" fillId="2" borderId="12" xfId="0" applyNumberFormat="1" applyFont="1" applyFill="1" applyBorder="1" applyAlignment="1" applyProtection="1">
      <alignment horizontal="right" vertical="center"/>
      <protection locked="0"/>
    </xf>
    <xf numFmtId="165" fontId="10" fillId="2" borderId="11" xfId="0" applyNumberFormat="1" applyFont="1" applyFill="1" applyBorder="1" applyAlignment="1" applyProtection="1">
      <alignment horizontal="right" vertical="center"/>
      <protection locked="0"/>
    </xf>
    <xf numFmtId="165" fontId="10" fillId="2" borderId="12" xfId="0" applyNumberFormat="1" applyFont="1" applyFill="1" applyBorder="1" applyAlignment="1" applyProtection="1">
      <alignment horizontal="right" vertical="center"/>
      <protection locked="0"/>
    </xf>
    <xf numFmtId="165" fontId="4" fillId="0" borderId="11" xfId="0" applyNumberFormat="1" applyFont="1" applyFill="1" applyBorder="1" applyAlignment="1" applyProtection="1">
      <alignment horizontal="right" vertical="center"/>
    </xf>
    <xf numFmtId="165" fontId="4" fillId="0" borderId="12" xfId="0" applyNumberFormat="1" applyFont="1" applyFill="1" applyBorder="1" applyAlignment="1" applyProtection="1">
      <alignment horizontal="right" vertical="center"/>
    </xf>
    <xf numFmtId="0" fontId="14" fillId="4" borderId="8" xfId="0" applyFont="1" applyFill="1" applyBorder="1" applyAlignment="1" applyProtection="1">
      <alignment horizontal="left"/>
    </xf>
    <xf numFmtId="0" fontId="14" fillId="4" borderId="9" xfId="0" applyFont="1" applyFill="1" applyBorder="1" applyAlignment="1" applyProtection="1">
      <alignment horizontal="left"/>
    </xf>
    <xf numFmtId="0" fontId="14" fillId="4" borderId="10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right"/>
    </xf>
    <xf numFmtId="0" fontId="2" fillId="0" borderId="4" xfId="0" applyFont="1" applyFill="1" applyBorder="1" applyAlignment="1" applyProtection="1">
      <alignment horizontal="right" vertical="center"/>
    </xf>
    <xf numFmtId="0" fontId="2" fillId="0" borderId="2" xfId="0" applyFont="1" applyFill="1" applyBorder="1" applyAlignment="1" applyProtection="1">
      <alignment horizontal="right" vertical="center"/>
    </xf>
    <xf numFmtId="0" fontId="2" fillId="0" borderId="3" xfId="0" applyFont="1" applyFill="1" applyBorder="1" applyAlignment="1" applyProtection="1">
      <alignment horizontal="right" vertical="center"/>
    </xf>
    <xf numFmtId="0" fontId="2" fillId="0" borderId="5" xfId="0" applyFont="1" applyFill="1" applyBorder="1" applyAlignment="1" applyProtection="1">
      <alignment horizontal="right" vertical="center"/>
    </xf>
    <xf numFmtId="0" fontId="2" fillId="0" borderId="7" xfId="0" applyFont="1" applyFill="1" applyBorder="1" applyAlignment="1" applyProtection="1">
      <alignment horizontal="right" vertical="center"/>
    </xf>
    <xf numFmtId="0" fontId="2" fillId="0" borderId="6" xfId="0" applyFont="1" applyFill="1" applyBorder="1" applyAlignment="1" applyProtection="1">
      <alignment horizontal="right" vertical="center"/>
    </xf>
    <xf numFmtId="0" fontId="4" fillId="0" borderId="8" xfId="0" applyFont="1" applyFill="1" applyBorder="1" applyAlignment="1" applyProtection="1">
      <alignment horizontal="left"/>
    </xf>
    <xf numFmtId="0" fontId="4" fillId="0" borderId="9" xfId="0" applyFont="1" applyFill="1" applyBorder="1" applyAlignment="1" applyProtection="1">
      <alignment horizontal="left"/>
    </xf>
    <xf numFmtId="0" fontId="4" fillId="0" borderId="10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 wrapText="1"/>
    </xf>
    <xf numFmtId="0" fontId="3" fillId="0" borderId="1" xfId="0" applyFont="1" applyFill="1" applyBorder="1" applyAlignment="1" applyProtection="1">
      <alignment horizontal="left"/>
    </xf>
    <xf numFmtId="0" fontId="6" fillId="2" borderId="11" xfId="0" applyFont="1" applyFill="1" applyBorder="1" applyAlignment="1" applyProtection="1">
      <alignment horizontal="right" vertical="center"/>
      <protection locked="0"/>
    </xf>
    <xf numFmtId="0" fontId="6" fillId="2" borderId="12" xfId="0" applyFont="1" applyFill="1" applyBorder="1" applyAlignment="1" applyProtection="1">
      <alignment horizontal="right" vertical="center"/>
      <protection locked="0"/>
    </xf>
    <xf numFmtId="165" fontId="11" fillId="2" borderId="11" xfId="0" applyNumberFormat="1" applyFont="1" applyFill="1" applyBorder="1" applyAlignment="1" applyProtection="1">
      <alignment horizontal="right" vertical="center"/>
      <protection locked="0"/>
    </xf>
    <xf numFmtId="165" fontId="11" fillId="2" borderId="12" xfId="0" applyNumberFormat="1" applyFont="1" applyFill="1" applyBorder="1" applyAlignment="1" applyProtection="1">
      <alignment horizontal="right" vertical="center"/>
      <protection locked="0"/>
    </xf>
    <xf numFmtId="165" fontId="15" fillId="0" borderId="11" xfId="0" applyNumberFormat="1" applyFont="1" applyFill="1" applyBorder="1" applyAlignment="1" applyProtection="1">
      <alignment horizontal="right" vertical="center"/>
    </xf>
    <xf numFmtId="165" fontId="15" fillId="0" borderId="12" xfId="0" applyNumberFormat="1" applyFont="1" applyFill="1" applyBorder="1" applyAlignment="1" applyProtection="1">
      <alignment horizontal="right" vertical="center"/>
    </xf>
    <xf numFmtId="165" fontId="13" fillId="0" borderId="11" xfId="0" applyNumberFormat="1" applyFont="1" applyFill="1" applyBorder="1" applyAlignment="1" applyProtection="1">
      <alignment horizontal="right" vertical="center"/>
    </xf>
    <xf numFmtId="165" fontId="13" fillId="0" borderId="12" xfId="0" applyNumberFormat="1" applyFont="1" applyFill="1" applyBorder="1" applyAlignment="1" applyProtection="1">
      <alignment horizontal="right" vertical="center"/>
    </xf>
    <xf numFmtId="0" fontId="2" fillId="0" borderId="8" xfId="0" applyFont="1" applyFill="1" applyBorder="1" applyAlignment="1" applyProtection="1">
      <alignment horizontal="right"/>
    </xf>
    <xf numFmtId="0" fontId="3" fillId="0" borderId="9" xfId="0" applyFont="1" applyFill="1" applyBorder="1" applyAlignment="1" applyProtection="1">
      <alignment horizontal="right"/>
    </xf>
    <xf numFmtId="0" fontId="3" fillId="0" borderId="10" xfId="0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left" wrapText="1"/>
    </xf>
    <xf numFmtId="0" fontId="4" fillId="0" borderId="8" xfId="0" applyFont="1" applyFill="1" applyBorder="1" applyAlignment="1" applyProtection="1">
      <alignment horizontal="right"/>
    </xf>
    <xf numFmtId="0" fontId="4" fillId="0" borderId="9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right"/>
    </xf>
    <xf numFmtId="0" fontId="1" fillId="0" borderId="1" xfId="0" applyFont="1" applyFill="1" applyBorder="1" applyAlignment="1" applyProtection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471846506991503E-2"/>
          <c:y val="2.3176876337585216E-2"/>
          <c:w val="0.20417466949935867"/>
          <c:h val="0.95364604821728849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'IEEE 141 Fig 3-11'!$AK$4</c:f>
              <c:strCache>
                <c:ptCount val="1"/>
                <c:pt idx="0">
                  <c:v>Vload 1000 V @ 0 deg</c:v>
                </c:pt>
              </c:strCache>
            </c:strRef>
          </c:tx>
          <c:spPr>
            <a:ln>
              <a:solidFill>
                <a:schemeClr val="accent1"/>
              </a:solidFill>
              <a:tailEnd type="triangle"/>
            </a:ln>
          </c:spPr>
          <c:marker>
            <c:symbol val="none"/>
          </c:marker>
          <c:xVal>
            <c:numRef>
              <c:f>'IEEE 141 Fig 3-11'!$AL$4:$AM$4</c:f>
              <c:numCache>
                <c:formatCode>0.00</c:formatCod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xVal>
          <c:yVal>
            <c:numRef>
              <c:f>'IEEE 141 Fig 3-11'!$AL$5:$AM$5</c:f>
              <c:numCache>
                <c:formatCode>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'IEEE 141 Fig 3-11'!$AK$6</c:f>
              <c:strCache>
                <c:ptCount val="1"/>
                <c:pt idx="0">
                  <c:v>Iload 500 A @ -30 deg</c:v>
                </c:pt>
              </c:strCache>
            </c:strRef>
          </c:tx>
          <c:spPr>
            <a:ln>
              <a:tailEnd type="stealth"/>
            </a:ln>
          </c:spPr>
          <c:marker>
            <c:symbol val="none"/>
          </c:marker>
          <c:xVal>
            <c:numRef>
              <c:f>'IEEE 141 Fig 3-11'!$AL$6:$AM$6</c:f>
              <c:numCache>
                <c:formatCode>0.00</c:formatCode>
                <c:ptCount val="2"/>
                <c:pt idx="0">
                  <c:v>0</c:v>
                </c:pt>
                <c:pt idx="1">
                  <c:v>433.01270189221935</c:v>
                </c:pt>
              </c:numCache>
            </c:numRef>
          </c:xVal>
          <c:yVal>
            <c:numRef>
              <c:f>'IEEE 141 Fig 3-11'!$AL$7:$AM$7</c:f>
              <c:numCache>
                <c:formatCode>0.00</c:formatCode>
                <c:ptCount val="2"/>
                <c:pt idx="0">
                  <c:v>0</c:v>
                </c:pt>
                <c:pt idx="1">
                  <c:v>-249.99999999999997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'IEEE 141 Fig 3-11'!$AK$16</c:f>
              <c:strCache>
                <c:ptCount val="1"/>
                <c:pt idx="0">
                  <c:v>Vcable 901.4 V @ 26.3 deg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  <a:tailEnd type="arrow"/>
            </a:ln>
          </c:spPr>
          <c:marker>
            <c:symbol val="none"/>
          </c:marker>
          <c:xVal>
            <c:numRef>
              <c:f>'IEEE 141 Fig 3-11'!$AL$16:$AM$16</c:f>
              <c:numCache>
                <c:formatCode>0.00</c:formatCode>
                <c:ptCount val="2"/>
                <c:pt idx="0">
                  <c:v>0</c:v>
                </c:pt>
                <c:pt idx="1">
                  <c:v>808.01270189221918</c:v>
                </c:pt>
              </c:numCache>
            </c:numRef>
          </c:xVal>
          <c:yVal>
            <c:numRef>
              <c:f>'IEEE 141 Fig 3-11'!$AL$17:$AM$17</c:f>
              <c:numCache>
                <c:formatCode>0.00</c:formatCode>
                <c:ptCount val="2"/>
                <c:pt idx="0">
                  <c:v>0</c:v>
                </c:pt>
                <c:pt idx="1">
                  <c:v>399.519052838329</c:v>
                </c:pt>
              </c:numCache>
            </c:numRef>
          </c:yVal>
          <c:smooth val="1"/>
        </c:ser>
        <c:ser>
          <c:idx val="6"/>
          <c:order val="3"/>
          <c:tx>
            <c:strRef>
              <c:f>'IEEE 141 Fig 3-11'!$AK$67</c:f>
              <c:strCache>
                <c:ptCount val="1"/>
                <c:pt idx="0">
                  <c:v>Iload x Rcable</c:v>
                </c:pt>
              </c:strCache>
            </c:strRef>
          </c:tx>
          <c:spPr>
            <a:ln>
              <a:solidFill>
                <a:schemeClr val="accent6">
                  <a:lumMod val="40000"/>
                  <a:lumOff val="60000"/>
                </a:schemeClr>
              </a:solidFill>
              <a:prstDash val="sysDot"/>
              <a:tailEnd type="arrow"/>
            </a:ln>
          </c:spPr>
          <c:marker>
            <c:symbol val="none"/>
          </c:marker>
          <c:xVal>
            <c:numRef>
              <c:f>'IEEE 141 Fig 3-11'!$AL$67:$AM$67</c:f>
              <c:numCache>
                <c:formatCode>0.00</c:formatCode>
                <c:ptCount val="2"/>
                <c:pt idx="0">
                  <c:v>1000</c:v>
                </c:pt>
                <c:pt idx="1">
                  <c:v>1433.0127018922194</c:v>
                </c:pt>
              </c:numCache>
            </c:numRef>
          </c:xVal>
          <c:yVal>
            <c:numRef>
              <c:f>'IEEE 141 Fig 3-11'!$AL$68:$AM$68</c:f>
              <c:numCache>
                <c:formatCode>0.00</c:formatCode>
                <c:ptCount val="2"/>
                <c:pt idx="0">
                  <c:v>0</c:v>
                </c:pt>
                <c:pt idx="1">
                  <c:v>-249.99999999999997</c:v>
                </c:pt>
              </c:numCache>
            </c:numRef>
          </c:yVal>
          <c:smooth val="1"/>
        </c:ser>
        <c:ser>
          <c:idx val="0"/>
          <c:order val="4"/>
          <c:tx>
            <c:strRef>
              <c:f>'IEEE 141 Fig 3-11'!$AK$71</c:f>
              <c:strCache>
                <c:ptCount val="1"/>
                <c:pt idx="0">
                  <c:v>Iload x Xcable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  <a:prstDash val="sysDash"/>
              <a:tailEnd type="stealth"/>
            </a:ln>
          </c:spPr>
          <c:marker>
            <c:symbol val="none"/>
          </c:marker>
          <c:xVal>
            <c:numRef>
              <c:f>'IEEE 141 Fig 3-11'!$AL$71:$AM$71</c:f>
              <c:numCache>
                <c:formatCode>0.00</c:formatCode>
                <c:ptCount val="2"/>
                <c:pt idx="0">
                  <c:v>1433.0127018922194</c:v>
                </c:pt>
                <c:pt idx="1">
                  <c:v>1808.0127018922194</c:v>
                </c:pt>
              </c:numCache>
            </c:numRef>
          </c:xVal>
          <c:yVal>
            <c:numRef>
              <c:f>'IEEE 141 Fig 3-11'!$AL$72:$AM$72</c:f>
              <c:numCache>
                <c:formatCode>0.00</c:formatCode>
                <c:ptCount val="2"/>
                <c:pt idx="0">
                  <c:v>-249.99999999999997</c:v>
                </c:pt>
                <c:pt idx="1">
                  <c:v>399.519052838329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'IEEE 141 Fig 3-11'!$AN$16</c:f>
              <c:strCache>
                <c:ptCount val="1"/>
                <c:pt idx="0">
                  <c:v>Iload x Zcable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  <a:tailEnd type="stealth"/>
            </a:ln>
          </c:spPr>
          <c:marker>
            <c:symbol val="none"/>
          </c:marker>
          <c:xVal>
            <c:numRef>
              <c:f>'IEEE 141 Fig 3-11'!$AO$16:$AP$16</c:f>
              <c:numCache>
                <c:formatCode>0.00</c:formatCode>
                <c:ptCount val="2"/>
                <c:pt idx="0">
                  <c:v>1000</c:v>
                </c:pt>
                <c:pt idx="1">
                  <c:v>1808.0127018922192</c:v>
                </c:pt>
              </c:numCache>
            </c:numRef>
          </c:xVal>
          <c:yVal>
            <c:numRef>
              <c:f>'IEEE 141 Fig 3-11'!$AO$17:$AP$17</c:f>
              <c:numCache>
                <c:formatCode>0.00</c:formatCode>
                <c:ptCount val="2"/>
                <c:pt idx="0">
                  <c:v>0</c:v>
                </c:pt>
                <c:pt idx="1">
                  <c:v>399.519052838329</c:v>
                </c:pt>
              </c:numCache>
            </c:numRef>
          </c:yVal>
          <c:smooth val="1"/>
        </c:ser>
        <c:ser>
          <c:idx val="2"/>
          <c:order val="6"/>
          <c:tx>
            <c:strRef>
              <c:f>'IEEE 141 Fig 3-11'!$AK$19</c:f>
              <c:strCache>
                <c:ptCount val="1"/>
                <c:pt idx="0">
                  <c:v>Vsource 1851.6 V @ 12.5 deg</c:v>
                </c:pt>
              </c:strCache>
            </c:strRef>
          </c:tx>
          <c:spPr>
            <a:ln>
              <a:solidFill>
                <a:srgbClr val="FF0000"/>
              </a:solidFill>
              <a:tailEnd type="triangle"/>
            </a:ln>
          </c:spPr>
          <c:marker>
            <c:symbol val="none"/>
          </c:marker>
          <c:xVal>
            <c:numRef>
              <c:f>'IEEE 141 Fig 3-11'!$AL$19:$AM$19</c:f>
              <c:numCache>
                <c:formatCode>0.00</c:formatCode>
                <c:ptCount val="2"/>
                <c:pt idx="0">
                  <c:v>0</c:v>
                </c:pt>
                <c:pt idx="1">
                  <c:v>1808.0127018922192</c:v>
                </c:pt>
              </c:numCache>
            </c:numRef>
          </c:xVal>
          <c:yVal>
            <c:numRef>
              <c:f>'IEEE 141 Fig 3-11'!$AL$20:$AM$20</c:f>
              <c:numCache>
                <c:formatCode>0.00</c:formatCode>
                <c:ptCount val="2"/>
                <c:pt idx="0">
                  <c:v>0</c:v>
                </c:pt>
                <c:pt idx="1">
                  <c:v>399.519052838329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6967168"/>
        <c:axId val="376968704"/>
      </c:scatterChart>
      <c:valAx>
        <c:axId val="37696716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one"/>
        <c:spPr>
          <a:ln>
            <a:noFill/>
          </a:ln>
        </c:spPr>
        <c:crossAx val="376968704"/>
        <c:crosses val="autoZero"/>
        <c:crossBetween val="midCat"/>
      </c:valAx>
      <c:valAx>
        <c:axId val="376968704"/>
        <c:scaling>
          <c:orientation val="minMax"/>
          <c:max val="2000"/>
          <c:min val="-2000"/>
        </c:scaling>
        <c:delete val="0"/>
        <c:axPos val="l"/>
        <c:numFmt formatCode="0.00" sourceLinked="1"/>
        <c:majorTickMark val="out"/>
        <c:minorTickMark val="none"/>
        <c:tickLblPos val="none"/>
        <c:spPr>
          <a:ln>
            <a:noFill/>
          </a:ln>
        </c:spPr>
        <c:crossAx val="37696716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40481</xdr:rowOff>
    </xdr:from>
    <xdr:to>
      <xdr:col>8</xdr:col>
      <xdr:colOff>695325</xdr:colOff>
      <xdr:row>1</xdr:row>
      <xdr:rowOff>2500312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72"/>
  <sheetViews>
    <sheetView showGridLines="0" tabSelected="1" zoomScale="80" zoomScaleNormal="80" zoomScalePageLayoutView="110" workbookViewId="0">
      <selection activeCell="A23" sqref="A23:D23"/>
    </sheetView>
  </sheetViews>
  <sheetFormatPr defaultColWidth="10.7109375" defaultRowHeight="15" customHeight="1" x14ac:dyDescent="0.2"/>
  <cols>
    <col min="1" max="1" width="38.7109375" style="12" customWidth="1"/>
    <col min="2" max="2" width="13.28515625" style="39" customWidth="1"/>
    <col min="3" max="3" width="14.140625" style="39" customWidth="1"/>
    <col min="4" max="4" width="10.7109375" style="12"/>
    <col min="5" max="6" width="10.7109375" style="18"/>
    <col min="7" max="7" width="4.140625" style="35" customWidth="1"/>
    <col min="8" max="9" width="10.7109375" style="18"/>
    <col min="10" max="10" width="10.7109375" style="12"/>
    <col min="11" max="18" width="10.7109375" style="12" customWidth="1"/>
    <col min="19" max="31" width="10.7109375" style="13" customWidth="1"/>
    <col min="32" max="34" width="10.7109375" style="13"/>
    <col min="35" max="35" width="5.140625" style="13" customWidth="1"/>
    <col min="36" max="36" width="8.5703125" style="13" customWidth="1"/>
    <col min="37" max="37" width="44.42578125" style="13" customWidth="1"/>
    <col min="38" max="39" width="8.5703125" style="13" customWidth="1"/>
    <col min="40" max="167" width="10.7109375" style="13"/>
    <col min="168" max="16384" width="10.7109375" style="12"/>
  </cols>
  <sheetData>
    <row r="1" spans="1:167" s="2" customFormat="1" ht="103.5" customHeight="1" x14ac:dyDescent="0.25">
      <c r="A1" s="51" t="s">
        <v>24</v>
      </c>
      <c r="B1" s="52"/>
      <c r="C1" s="52"/>
      <c r="D1" s="52"/>
      <c r="E1" s="52"/>
      <c r="F1" s="52"/>
      <c r="G1" s="52"/>
      <c r="H1" s="52"/>
      <c r="I1" s="5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</row>
    <row r="2" spans="1:167" s="7" customFormat="1" ht="198.75" customHeight="1" x14ac:dyDescent="0.2">
      <c r="A2" s="55"/>
      <c r="B2" s="55"/>
      <c r="C2" s="55"/>
      <c r="D2" s="55"/>
      <c r="E2" s="4"/>
      <c r="F2" s="4"/>
      <c r="G2" s="5"/>
      <c r="H2" s="6"/>
      <c r="I2" s="6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</row>
    <row r="3" spans="1:167" ht="15" customHeight="1" x14ac:dyDescent="0.2">
      <c r="A3" s="54"/>
      <c r="B3" s="55"/>
      <c r="C3" s="55"/>
      <c r="D3" s="56"/>
      <c r="E3" s="9" t="s">
        <v>4</v>
      </c>
      <c r="F3" s="9" t="s">
        <v>5</v>
      </c>
      <c r="G3" s="10"/>
      <c r="H3" s="11" t="s">
        <v>6</v>
      </c>
      <c r="I3" s="11" t="s">
        <v>7</v>
      </c>
    </row>
    <row r="4" spans="1:167" ht="15" customHeight="1" x14ac:dyDescent="0.2">
      <c r="A4" s="75" t="s">
        <v>9</v>
      </c>
      <c r="B4" s="76"/>
      <c r="C4" s="76"/>
      <c r="D4" s="77"/>
      <c r="E4" s="65">
        <v>1000</v>
      </c>
      <c r="F4" s="88">
        <v>0</v>
      </c>
      <c r="G4" s="57" t="s">
        <v>20</v>
      </c>
      <c r="H4" s="92">
        <f>E4*COS(RADIANS(F4))</f>
        <v>1000</v>
      </c>
      <c r="I4" s="94">
        <f>E4*SIN(RADIANS(F4))</f>
        <v>0</v>
      </c>
      <c r="AK4" s="13" t="str">
        <f>CONCATENATE("Vload ",ROUND(E4,1)," V @ ",ROUND(F4,1)," deg")</f>
        <v>Vload 1000 V @ 0 deg</v>
      </c>
      <c r="AL4" s="14">
        <v>0</v>
      </c>
      <c r="AM4" s="14">
        <f>H4</f>
        <v>1000</v>
      </c>
      <c r="AN4" s="14"/>
      <c r="AP4" s="14"/>
    </row>
    <row r="5" spans="1:167" ht="15" customHeight="1" x14ac:dyDescent="0.2">
      <c r="A5" s="78"/>
      <c r="B5" s="79"/>
      <c r="C5" s="79"/>
      <c r="D5" s="80"/>
      <c r="E5" s="66"/>
      <c r="F5" s="89"/>
      <c r="G5" s="58"/>
      <c r="H5" s="93"/>
      <c r="I5" s="95"/>
      <c r="AL5" s="14">
        <v>0</v>
      </c>
      <c r="AM5" s="14">
        <f>I4</f>
        <v>0</v>
      </c>
      <c r="AN5" s="14"/>
      <c r="AP5" s="14"/>
    </row>
    <row r="6" spans="1:167" ht="15" customHeight="1" x14ac:dyDescent="0.2">
      <c r="A6" s="75" t="s">
        <v>3</v>
      </c>
      <c r="B6" s="76"/>
      <c r="C6" s="76"/>
      <c r="D6" s="77"/>
      <c r="E6" s="67">
        <v>500</v>
      </c>
      <c r="F6" s="90">
        <v>-30</v>
      </c>
      <c r="G6" s="57" t="s">
        <v>20</v>
      </c>
      <c r="H6" s="69">
        <f>E6*COS(RADIANS(F6))</f>
        <v>433.01270189221935</v>
      </c>
      <c r="I6" s="69">
        <f>E6*SIN(RADIANS(F6))</f>
        <v>-249.99999999999997</v>
      </c>
      <c r="AK6" s="13" t="str">
        <f>CONCATENATE("Iload ",ROUND(E6,1)," A @ ",ROUND(F6,1)," deg")</f>
        <v>Iload 500 A @ -30 deg</v>
      </c>
      <c r="AL6" s="14">
        <v>0</v>
      </c>
      <c r="AM6" s="14">
        <f>H6</f>
        <v>433.01270189221935</v>
      </c>
    </row>
    <row r="7" spans="1:167" ht="15" customHeight="1" x14ac:dyDescent="0.2">
      <c r="A7" s="78"/>
      <c r="B7" s="79"/>
      <c r="C7" s="79"/>
      <c r="D7" s="80"/>
      <c r="E7" s="68"/>
      <c r="F7" s="91"/>
      <c r="G7" s="58"/>
      <c r="H7" s="70"/>
      <c r="I7" s="70"/>
      <c r="AL7" s="14">
        <v>0</v>
      </c>
      <c r="AM7" s="14">
        <f>I6</f>
        <v>-249.99999999999997</v>
      </c>
      <c r="AN7" s="14"/>
    </row>
    <row r="8" spans="1:167" ht="15" customHeight="1" x14ac:dyDescent="0.2">
      <c r="A8" s="81" t="s">
        <v>8</v>
      </c>
      <c r="B8" s="82"/>
      <c r="C8" s="82"/>
      <c r="D8" s="83"/>
      <c r="E8" s="15">
        <f>COS(RADIANS(F6))</f>
        <v>0.86602540378443871</v>
      </c>
      <c r="F8" s="16" t="str">
        <f>IF(F6=0,"Unity",IF(F6&gt;0,"Leading","Lagging"))</f>
        <v>Lagging</v>
      </c>
      <c r="G8" s="17"/>
      <c r="AN8" s="14"/>
    </row>
    <row r="9" spans="1:167" ht="15" customHeight="1" x14ac:dyDescent="0.2">
      <c r="A9" s="19"/>
      <c r="B9" s="19"/>
      <c r="C9" s="19"/>
      <c r="D9" s="19"/>
      <c r="E9" s="20"/>
      <c r="F9" s="21"/>
      <c r="G9" s="22"/>
      <c r="H9" s="23"/>
      <c r="I9" s="23"/>
    </row>
    <row r="10" spans="1:167" ht="15" customHeight="1" x14ac:dyDescent="0.2">
      <c r="A10" s="59" t="s">
        <v>17</v>
      </c>
      <c r="B10" s="60"/>
      <c r="C10" s="60"/>
      <c r="D10" s="60"/>
      <c r="E10" s="60"/>
      <c r="F10" s="60"/>
      <c r="G10" s="61"/>
      <c r="H10" s="24" t="s">
        <v>0</v>
      </c>
      <c r="I10" s="24" t="s">
        <v>1</v>
      </c>
    </row>
    <row r="11" spans="1:167" ht="15" customHeight="1" x14ac:dyDescent="0.2">
      <c r="A11" s="62"/>
      <c r="B11" s="63"/>
      <c r="C11" s="63"/>
      <c r="D11" s="63"/>
      <c r="E11" s="63"/>
      <c r="F11" s="63"/>
      <c r="G11" s="64"/>
      <c r="H11" s="1">
        <v>1E-3</v>
      </c>
      <c r="I11" s="1">
        <v>1.5E-3</v>
      </c>
    </row>
    <row r="12" spans="1:167" ht="15" customHeight="1" x14ac:dyDescent="0.2">
      <c r="A12" s="50" t="s">
        <v>18</v>
      </c>
      <c r="B12" s="50"/>
      <c r="C12" s="50"/>
      <c r="D12" s="50"/>
      <c r="E12" s="25">
        <v>1000</v>
      </c>
      <c r="F12" s="15"/>
      <c r="G12" s="48"/>
      <c r="H12" s="28" t="s">
        <v>21</v>
      </c>
      <c r="I12" s="28" t="s">
        <v>21</v>
      </c>
    </row>
    <row r="13" spans="1:167" ht="15" customHeight="1" x14ac:dyDescent="0.2">
      <c r="A13" s="84" t="s">
        <v>16</v>
      </c>
      <c r="B13" s="85"/>
      <c r="C13" s="85"/>
      <c r="D13" s="85"/>
      <c r="E13" s="26">
        <f>SQRT((H13*H13)+(I13*I13))</f>
        <v>1.8027756377319946</v>
      </c>
      <c r="F13" s="27">
        <f>IF(H13=0,90*I13/ABS(I13),DEGREES(ATAN(I13/H13)))</f>
        <v>56.309932474020215</v>
      </c>
      <c r="G13" s="28" t="s">
        <v>19</v>
      </c>
      <c r="H13" s="29">
        <f>E12*H11</f>
        <v>1</v>
      </c>
      <c r="I13" s="29">
        <f>E12*I11</f>
        <v>1.5</v>
      </c>
    </row>
    <row r="15" spans="1:167" ht="32.25" customHeight="1" x14ac:dyDescent="0.2">
      <c r="A15" s="86" t="s">
        <v>22</v>
      </c>
      <c r="B15" s="87"/>
      <c r="C15" s="87"/>
      <c r="D15" s="87"/>
      <c r="E15" s="87"/>
      <c r="F15" s="87"/>
      <c r="G15" s="87"/>
      <c r="H15" s="87"/>
      <c r="I15" s="87"/>
      <c r="AL15" s="14"/>
      <c r="AM15" s="14"/>
      <c r="AN15" s="14"/>
      <c r="AO15" s="14"/>
      <c r="AP15" s="14"/>
    </row>
    <row r="16" spans="1:167" ht="15" customHeight="1" x14ac:dyDescent="0.2">
      <c r="A16" s="96" t="s">
        <v>15</v>
      </c>
      <c r="B16" s="97"/>
      <c r="C16" s="97"/>
      <c r="D16" s="98"/>
      <c r="E16" s="30">
        <f>E6*E13</f>
        <v>901.38781886599725</v>
      </c>
      <c r="F16" s="31">
        <f>F6+F13</f>
        <v>26.309932474020215</v>
      </c>
      <c r="G16" s="32" t="s">
        <v>20</v>
      </c>
      <c r="H16" s="33">
        <f>E16*COS(RADIANS(F16))</f>
        <v>808.01270189221918</v>
      </c>
      <c r="I16" s="34">
        <f>E16*SIN(RADIANS(F16))</f>
        <v>399.519052838329</v>
      </c>
      <c r="AK16" s="13" t="str">
        <f>CONCATENATE("Vcable ",ROUND(E16,1)," V @ ",ROUND(F16,1)," deg")</f>
        <v>Vcable 901.4 V @ 26.3 deg</v>
      </c>
      <c r="AL16" s="14">
        <v>0</v>
      </c>
      <c r="AM16" s="14">
        <f>H16</f>
        <v>808.01270189221918</v>
      </c>
      <c r="AN16" s="14" t="s">
        <v>10</v>
      </c>
      <c r="AO16" s="14">
        <f>AM4</f>
        <v>1000</v>
      </c>
      <c r="AP16" s="14">
        <f>AO16+AM16</f>
        <v>1808.0127018922192</v>
      </c>
    </row>
    <row r="17" spans="1:42" ht="15" customHeight="1" x14ac:dyDescent="0.2">
      <c r="A17" s="19"/>
      <c r="B17" s="19"/>
      <c r="C17" s="19"/>
      <c r="D17" s="19"/>
      <c r="E17" s="2"/>
      <c r="F17" s="2"/>
      <c r="AL17" s="14">
        <v>0</v>
      </c>
      <c r="AM17" s="14">
        <f>I16</f>
        <v>399.519052838329</v>
      </c>
      <c r="AN17" s="14"/>
      <c r="AO17" s="14">
        <f>AM5</f>
        <v>0</v>
      </c>
      <c r="AP17" s="14">
        <f>AO17+AM17</f>
        <v>399.519052838329</v>
      </c>
    </row>
    <row r="18" spans="1:42" ht="30.75" customHeight="1" x14ac:dyDescent="0.2">
      <c r="A18" s="86" t="s">
        <v>23</v>
      </c>
      <c r="B18" s="99"/>
      <c r="C18" s="99"/>
      <c r="D18" s="99"/>
      <c r="E18" s="99"/>
      <c r="F18" s="99"/>
      <c r="G18" s="99"/>
      <c r="H18" s="99"/>
      <c r="I18" s="99"/>
      <c r="AL18" s="14"/>
      <c r="AM18" s="14"/>
      <c r="AN18" s="14"/>
      <c r="AO18" s="14"/>
      <c r="AP18" s="14"/>
    </row>
    <row r="19" spans="1:42" ht="15" customHeight="1" x14ac:dyDescent="0.2">
      <c r="A19" s="100" t="s">
        <v>2</v>
      </c>
      <c r="B19" s="101"/>
      <c r="C19" s="101"/>
      <c r="D19" s="102"/>
      <c r="E19" s="36">
        <f>SQRT((H19*H19)+(I19*I19))</f>
        <v>1851.6277713904699</v>
      </c>
      <c r="F19" s="36">
        <f>DEGREES(ATAN(I19/H19))</f>
        <v>12.460494006412183</v>
      </c>
      <c r="G19" s="32" t="s">
        <v>19</v>
      </c>
      <c r="H19" s="33">
        <f>H4+H16</f>
        <v>1808.0127018922192</v>
      </c>
      <c r="I19" s="34">
        <f>I4+I16</f>
        <v>399.519052838329</v>
      </c>
      <c r="AK19" s="13" t="str">
        <f>CONCATENATE("Vsource ",ROUND(E19,1)," V @ ",ROUND(F19,1)," deg")</f>
        <v>Vsource 1851.6 V @ 12.5 deg</v>
      </c>
      <c r="AL19" s="14">
        <v>0</v>
      </c>
      <c r="AM19" s="14">
        <f>H19</f>
        <v>1808.0127018922192</v>
      </c>
      <c r="AN19" s="14"/>
    </row>
    <row r="20" spans="1:42" ht="15" customHeight="1" x14ac:dyDescent="0.2">
      <c r="A20" s="19"/>
      <c r="B20" s="19"/>
      <c r="C20" s="19"/>
      <c r="D20" s="19"/>
      <c r="E20" s="2"/>
      <c r="F20" s="2"/>
      <c r="AL20" s="14">
        <v>0</v>
      </c>
      <c r="AM20" s="14">
        <f>I19</f>
        <v>399.519052838329</v>
      </c>
      <c r="AN20" s="14"/>
    </row>
    <row r="21" spans="1:42" ht="15" customHeight="1" x14ac:dyDescent="0.2">
      <c r="A21" s="42"/>
      <c r="B21" s="43"/>
      <c r="C21" s="43"/>
      <c r="D21" s="43"/>
      <c r="E21" s="44"/>
      <c r="F21" s="45"/>
      <c r="G21" s="46"/>
      <c r="H21" s="47"/>
      <c r="I21" s="47"/>
      <c r="J21" s="7"/>
      <c r="K21" s="7"/>
    </row>
    <row r="22" spans="1:42" ht="15" customHeight="1" x14ac:dyDescent="0.2">
      <c r="A22" s="103" t="s">
        <v>25</v>
      </c>
      <c r="B22" s="74"/>
      <c r="C22" s="74"/>
      <c r="D22" s="74"/>
      <c r="E22" s="36">
        <f>E19-E4</f>
        <v>851.62777139046989</v>
      </c>
      <c r="AI22" s="14"/>
      <c r="AJ22" s="14"/>
      <c r="AK22" s="14"/>
    </row>
    <row r="23" spans="1:42" ht="15" customHeight="1" x14ac:dyDescent="0.2">
      <c r="A23" s="74" t="s">
        <v>13</v>
      </c>
      <c r="B23" s="74"/>
      <c r="C23" s="74"/>
      <c r="D23" s="74"/>
      <c r="E23" s="37">
        <f>E16</f>
        <v>901.38781886599725</v>
      </c>
      <c r="AI23" s="14"/>
      <c r="AJ23" s="14"/>
      <c r="AK23" s="14"/>
    </row>
    <row r="24" spans="1:42" ht="15" customHeight="1" x14ac:dyDescent="0.2">
      <c r="A24" s="74" t="s">
        <v>14</v>
      </c>
      <c r="B24" s="74"/>
      <c r="C24" s="74"/>
      <c r="D24" s="74"/>
      <c r="E24" s="37">
        <f>(E6*H13*COS(RADIANS(ABS(F6))))+(E6*I13*SIN(RADIANS(ABS(F6))))</f>
        <v>808.0127018922193</v>
      </c>
      <c r="F24" s="71" t="str">
        <f>CONCATENATE("i.e. ",AM24," times actual Vdiff")</f>
        <v>i.e. 0.95 times actual Vdiff</v>
      </c>
      <c r="G24" s="72"/>
      <c r="H24" s="72"/>
      <c r="I24" s="73"/>
      <c r="AI24" s="14"/>
      <c r="AJ24" s="14"/>
      <c r="AK24" s="14"/>
      <c r="AM24" s="38">
        <f>ROUND(E24/E22,2)</f>
        <v>0.95</v>
      </c>
    </row>
    <row r="25" spans="1:42" ht="15" customHeight="1" x14ac:dyDescent="0.2">
      <c r="A25" s="49"/>
      <c r="B25" s="49"/>
      <c r="C25" s="49"/>
      <c r="D25" s="49"/>
      <c r="E25" s="49"/>
      <c r="F25" s="49"/>
      <c r="G25" s="49"/>
      <c r="H25" s="49"/>
      <c r="I25" s="49"/>
      <c r="AI25" s="14"/>
      <c r="AJ25" s="14"/>
      <c r="AK25" s="14"/>
      <c r="AM25" s="38"/>
    </row>
    <row r="26" spans="1:42" ht="15" customHeight="1" x14ac:dyDescent="0.2">
      <c r="AI26" s="14"/>
      <c r="AJ26" s="14"/>
      <c r="AK26" s="14"/>
    </row>
    <row r="27" spans="1:42" ht="15" customHeight="1" x14ac:dyDescent="0.2">
      <c r="AI27" s="14"/>
      <c r="AJ27" s="14"/>
      <c r="AK27" s="14"/>
    </row>
    <row r="28" spans="1:42" ht="15" customHeight="1" x14ac:dyDescent="0.2">
      <c r="AI28" s="14"/>
      <c r="AJ28" s="14"/>
      <c r="AK28" s="14"/>
    </row>
    <row r="29" spans="1:42" ht="15" customHeight="1" x14ac:dyDescent="0.2">
      <c r="AI29" s="14"/>
      <c r="AJ29" s="14"/>
      <c r="AK29" s="14"/>
    </row>
    <row r="30" spans="1:42" ht="15" customHeight="1" x14ac:dyDescent="0.2">
      <c r="AI30" s="14"/>
      <c r="AJ30" s="14"/>
      <c r="AK30" s="14"/>
    </row>
    <row r="31" spans="1:42" ht="15" customHeight="1" x14ac:dyDescent="0.2">
      <c r="AI31" s="14"/>
      <c r="AJ31" s="14"/>
      <c r="AK31" s="14"/>
    </row>
    <row r="32" spans="1:42" ht="15" customHeight="1" x14ac:dyDescent="0.2">
      <c r="AI32" s="14"/>
      <c r="AJ32" s="14"/>
      <c r="AK32" s="14"/>
    </row>
    <row r="33" spans="35:37" ht="15" customHeight="1" x14ac:dyDescent="0.2">
      <c r="AI33" s="14"/>
      <c r="AJ33" s="14"/>
      <c r="AK33" s="14"/>
    </row>
    <row r="34" spans="35:37" ht="15" customHeight="1" x14ac:dyDescent="0.2">
      <c r="AI34" s="14"/>
      <c r="AJ34" s="14"/>
      <c r="AK34" s="14"/>
    </row>
    <row r="35" spans="35:37" ht="15" customHeight="1" x14ac:dyDescent="0.2">
      <c r="AI35" s="14"/>
      <c r="AJ35" s="14"/>
      <c r="AK35" s="14"/>
    </row>
    <row r="36" spans="35:37" ht="15" customHeight="1" x14ac:dyDescent="0.2">
      <c r="AI36" s="14"/>
      <c r="AJ36" s="14"/>
      <c r="AK36" s="14"/>
    </row>
    <row r="37" spans="35:37" ht="15" customHeight="1" x14ac:dyDescent="0.2">
      <c r="AI37" s="14"/>
      <c r="AJ37" s="14"/>
      <c r="AK37" s="14"/>
    </row>
    <row r="38" spans="35:37" ht="15" customHeight="1" x14ac:dyDescent="0.2">
      <c r="AI38" s="14"/>
      <c r="AJ38" s="14"/>
      <c r="AK38" s="14"/>
    </row>
    <row r="39" spans="35:37" ht="15" customHeight="1" x14ac:dyDescent="0.2">
      <c r="AI39" s="14"/>
      <c r="AJ39" s="14"/>
      <c r="AK39" s="14"/>
    </row>
    <row r="40" spans="35:37" ht="15" customHeight="1" x14ac:dyDescent="0.2">
      <c r="AI40" s="14"/>
      <c r="AJ40" s="14"/>
      <c r="AK40" s="14"/>
    </row>
    <row r="41" spans="35:37" ht="15" customHeight="1" x14ac:dyDescent="0.2">
      <c r="AI41" s="14"/>
      <c r="AJ41" s="14"/>
      <c r="AK41" s="14"/>
    </row>
    <row r="42" spans="35:37" ht="15" customHeight="1" x14ac:dyDescent="0.2">
      <c r="AI42" s="14"/>
      <c r="AJ42" s="14"/>
      <c r="AK42" s="14"/>
    </row>
    <row r="43" spans="35:37" ht="15" customHeight="1" x14ac:dyDescent="0.2">
      <c r="AI43" s="14"/>
      <c r="AJ43" s="14"/>
      <c r="AK43" s="14"/>
    </row>
    <row r="44" spans="35:37" ht="15" customHeight="1" x14ac:dyDescent="0.2">
      <c r="AI44" s="14"/>
      <c r="AJ44" s="14"/>
      <c r="AK44" s="14"/>
    </row>
    <row r="45" spans="35:37" ht="15" customHeight="1" x14ac:dyDescent="0.2">
      <c r="AI45" s="14"/>
      <c r="AJ45" s="14"/>
      <c r="AK45" s="14"/>
    </row>
    <row r="46" spans="35:37" ht="15" customHeight="1" x14ac:dyDescent="0.2">
      <c r="AI46" s="14"/>
      <c r="AJ46" s="14"/>
      <c r="AK46" s="14"/>
    </row>
    <row r="47" spans="35:37" ht="15" customHeight="1" x14ac:dyDescent="0.2">
      <c r="AI47" s="14"/>
      <c r="AJ47" s="14"/>
      <c r="AK47" s="14"/>
    </row>
    <row r="48" spans="35:37" ht="15" customHeight="1" x14ac:dyDescent="0.2">
      <c r="AI48" s="14"/>
      <c r="AJ48" s="14"/>
      <c r="AK48" s="14"/>
    </row>
    <row r="49" spans="35:37" ht="15" customHeight="1" x14ac:dyDescent="0.2">
      <c r="AI49" s="14"/>
      <c r="AJ49" s="14"/>
      <c r="AK49" s="14"/>
    </row>
    <row r="50" spans="35:37" ht="15" customHeight="1" x14ac:dyDescent="0.2">
      <c r="AI50" s="14"/>
      <c r="AJ50" s="14"/>
      <c r="AK50" s="14"/>
    </row>
    <row r="51" spans="35:37" ht="15" customHeight="1" x14ac:dyDescent="0.2">
      <c r="AI51" s="14"/>
      <c r="AJ51" s="14"/>
      <c r="AK51" s="14"/>
    </row>
    <row r="52" spans="35:37" ht="15" customHeight="1" x14ac:dyDescent="0.2">
      <c r="AI52" s="14"/>
      <c r="AJ52" s="14"/>
      <c r="AK52" s="14"/>
    </row>
    <row r="53" spans="35:37" ht="15" customHeight="1" x14ac:dyDescent="0.2">
      <c r="AI53" s="14"/>
      <c r="AJ53" s="14"/>
      <c r="AK53" s="14"/>
    </row>
    <row r="54" spans="35:37" ht="15" customHeight="1" x14ac:dyDescent="0.2">
      <c r="AI54" s="14"/>
      <c r="AJ54" s="14"/>
      <c r="AK54" s="14"/>
    </row>
    <row r="55" spans="35:37" ht="15" customHeight="1" x14ac:dyDescent="0.2">
      <c r="AI55" s="14"/>
      <c r="AJ55" s="14"/>
      <c r="AK55" s="14"/>
    </row>
    <row r="56" spans="35:37" ht="15" customHeight="1" x14ac:dyDescent="0.2">
      <c r="AI56" s="14"/>
      <c r="AJ56" s="14"/>
      <c r="AK56" s="14"/>
    </row>
    <row r="57" spans="35:37" ht="15" customHeight="1" x14ac:dyDescent="0.2">
      <c r="AI57" s="14"/>
      <c r="AJ57" s="14"/>
      <c r="AK57" s="14"/>
    </row>
    <row r="58" spans="35:37" ht="15" customHeight="1" x14ac:dyDescent="0.2">
      <c r="AI58" s="14"/>
      <c r="AJ58" s="14"/>
      <c r="AK58" s="14"/>
    </row>
    <row r="59" spans="35:37" ht="15" customHeight="1" x14ac:dyDescent="0.2">
      <c r="AI59" s="14"/>
      <c r="AJ59" s="14"/>
      <c r="AK59" s="14"/>
    </row>
    <row r="60" spans="35:37" ht="15" customHeight="1" x14ac:dyDescent="0.2">
      <c r="AI60" s="14"/>
      <c r="AJ60" s="14"/>
      <c r="AK60" s="14"/>
    </row>
    <row r="61" spans="35:37" ht="15" customHeight="1" x14ac:dyDescent="0.2">
      <c r="AI61" s="14"/>
      <c r="AJ61" s="14"/>
      <c r="AK61" s="14"/>
    </row>
    <row r="62" spans="35:37" ht="15" customHeight="1" x14ac:dyDescent="0.2">
      <c r="AI62" s="14"/>
      <c r="AJ62" s="14"/>
      <c r="AK62" s="14"/>
    </row>
    <row r="67" spans="2:39" ht="15" customHeight="1" x14ac:dyDescent="0.2">
      <c r="B67" s="39">
        <f>E6*H13</f>
        <v>500</v>
      </c>
      <c r="C67" s="40">
        <f>F6</f>
        <v>-30</v>
      </c>
      <c r="D67" s="41">
        <f>B67*COS(RADIANS(C67))</f>
        <v>433.01270189221935</v>
      </c>
      <c r="E67" s="23">
        <f>B67*SIN(RADIANS(C67))</f>
        <v>-249.99999999999997</v>
      </c>
      <c r="AI67" s="14">
        <v>0</v>
      </c>
      <c r="AJ67" s="14">
        <f>D67</f>
        <v>433.01270189221935</v>
      </c>
      <c r="AK67" s="13" t="s">
        <v>11</v>
      </c>
      <c r="AL67" s="14">
        <f>AM4</f>
        <v>1000</v>
      </c>
      <c r="AM67" s="14">
        <f>AL67+AJ67</f>
        <v>1433.0127018922194</v>
      </c>
    </row>
    <row r="68" spans="2:39" ht="15" customHeight="1" x14ac:dyDescent="0.2">
      <c r="AI68" s="14">
        <v>0</v>
      </c>
      <c r="AJ68" s="14">
        <f>E67</f>
        <v>-249.99999999999997</v>
      </c>
      <c r="AK68" s="14"/>
      <c r="AL68" s="14">
        <f>AM5</f>
        <v>0</v>
      </c>
      <c r="AM68" s="14">
        <f>AL68+AJ68</f>
        <v>-249.99999999999997</v>
      </c>
    </row>
    <row r="71" spans="2:39" ht="15" customHeight="1" x14ac:dyDescent="0.2">
      <c r="B71" s="39">
        <f>E6*I13</f>
        <v>750</v>
      </c>
      <c r="C71" s="40">
        <f>F6+90</f>
        <v>60</v>
      </c>
      <c r="D71" s="41">
        <f>B71*COS(RADIANS(C71))</f>
        <v>375.00000000000006</v>
      </c>
      <c r="E71" s="23">
        <f>B71*SIN(RADIANS(C71))</f>
        <v>649.519052838329</v>
      </c>
      <c r="AI71" s="14">
        <v>0</v>
      </c>
      <c r="AJ71" s="14">
        <f>D71</f>
        <v>375.00000000000006</v>
      </c>
      <c r="AK71" s="13" t="s">
        <v>12</v>
      </c>
      <c r="AL71" s="14">
        <f>AM67</f>
        <v>1433.0127018922194</v>
      </c>
      <c r="AM71" s="14">
        <f>AL71+AJ71</f>
        <v>1808.0127018922194</v>
      </c>
    </row>
    <row r="72" spans="2:39" ht="15" customHeight="1" x14ac:dyDescent="0.2">
      <c r="AI72" s="14">
        <v>0</v>
      </c>
      <c r="AJ72" s="14">
        <f>E71</f>
        <v>649.519052838329</v>
      </c>
      <c r="AK72" s="14"/>
      <c r="AL72" s="14">
        <f>AM68</f>
        <v>-249.99999999999997</v>
      </c>
      <c r="AM72" s="14">
        <f>AL72+AJ72</f>
        <v>399.519052838329</v>
      </c>
    </row>
  </sheetData>
  <sheetProtection password="C541" sheet="1" objects="1" scenarios="1" formatColumns="0" formatRows="0"/>
  <mergeCells count="27">
    <mergeCell ref="F24:I24"/>
    <mergeCell ref="A24:D24"/>
    <mergeCell ref="A4:D5"/>
    <mergeCell ref="A6:D7"/>
    <mergeCell ref="A8:D8"/>
    <mergeCell ref="A13:D13"/>
    <mergeCell ref="A15:I15"/>
    <mergeCell ref="F4:F5"/>
    <mergeCell ref="F6:F7"/>
    <mergeCell ref="H4:H5"/>
    <mergeCell ref="I4:I5"/>
    <mergeCell ref="A22:D22"/>
    <mergeCell ref="A23:D23"/>
    <mergeCell ref="A16:D16"/>
    <mergeCell ref="A18:I18"/>
    <mergeCell ref="A19:D19"/>
    <mergeCell ref="A12:D12"/>
    <mergeCell ref="A1:I1"/>
    <mergeCell ref="A3:D3"/>
    <mergeCell ref="G4:G5"/>
    <mergeCell ref="G6:G7"/>
    <mergeCell ref="A2:D2"/>
    <mergeCell ref="A10:G11"/>
    <mergeCell ref="E4:E5"/>
    <mergeCell ref="E6:E7"/>
    <mergeCell ref="H6:H7"/>
    <mergeCell ref="I6:I7"/>
  </mergeCells>
  <pageMargins left="0.70866141732283472" right="0.70866141732283472" top="0.94488188976377963" bottom="0.74803149606299213" header="0.31496062992125984" footer="0.31496062992125984"/>
  <pageSetup paperSize="9" scale="70" fitToHeight="0" orientation="portrait" horizontalDpi="0" verticalDpi="0" r:id="rId1"/>
  <headerFooter>
    <oddHeader>&amp;L&amp;G</oddHeader>
    <oddFooter>&amp;L&amp;"Tahoma,Regular"&amp;10© 2016 Rod Hughes Consulting Pty Ltd
A.B.N. 64 137 442 089&amp;C&amp;"Tahoma,Regular"&amp;10&amp;A
Page &amp;P of &amp;N&amp;R&amp;"Tahoma,Regular"&amp;10&amp;F
&amp;D &amp;T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IEEE 141 Fig 3-11</vt:lpstr>
      <vt:lpstr>'IEEE 141 Fig 3-11'!Print_Area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Title</dc:title>
  <dc:subject>Subject</dc:subject>
  <dc:creator>Rodney Hughes</dc:creator>
  <cp:lastModifiedBy>Rodney Hughes</cp:lastModifiedBy>
  <cp:lastPrinted>2017-11-10T16:14:29Z</cp:lastPrinted>
  <dcterms:created xsi:type="dcterms:W3CDTF">2011-03-25T08:31:33Z</dcterms:created>
  <dcterms:modified xsi:type="dcterms:W3CDTF">2017-11-10T17:47:28Z</dcterms:modified>
</cp:coreProperties>
</file>